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0" yWindow="795" windowWidth="15300" windowHeight="8715" tabRatio="790" activeTab="0"/>
  </bookViews>
  <sheets>
    <sheet name="8030 Ballast Calculator" sheetId="1" r:id="rId1"/>
    <sheet name="8030 Wheel Data Sheet" sheetId="2" state="hidden" r:id="rId2"/>
  </sheets>
  <definedNames>
    <definedName name="_xlnm.Print_Area" localSheetId="0">'8030 Ballast Calculator'!$A$1:$L$58</definedName>
  </definedNames>
  <calcPr fullCalcOnLoad="1"/>
</workbook>
</file>

<file path=xl/comments2.xml><?xml version="1.0" encoding="utf-8"?>
<comments xmlns="http://schemas.openxmlformats.org/spreadsheetml/2006/main">
  <authors>
    <author>John E Nees</author>
  </authors>
  <commentList>
    <comment ref="I19" authorId="0">
      <text>
        <r>
          <rPr>
            <b/>
            <sz val="8"/>
            <rFont val="Tahoma"/>
            <family val="0"/>
          </rPr>
          <t>John E Nees:</t>
        </r>
        <r>
          <rPr>
            <sz val="8"/>
            <rFont val="Tahoma"/>
            <family val="0"/>
          </rPr>
          <t xml:space="preserve">
UP from 2wd to ILS</t>
        </r>
      </text>
    </comment>
    <comment ref="I18" authorId="0">
      <text>
        <r>
          <rPr>
            <b/>
            <sz val="8"/>
            <rFont val="Tahoma"/>
            <family val="0"/>
          </rPr>
          <t>John E Nees:</t>
        </r>
        <r>
          <rPr>
            <sz val="8"/>
            <rFont val="Tahoma"/>
            <family val="0"/>
          </rPr>
          <t xml:space="preserve">
UP from 2wd to 1500
</t>
        </r>
      </text>
    </comment>
    <comment ref="I17" authorId="0">
      <text>
        <r>
          <rPr>
            <b/>
            <sz val="8"/>
            <rFont val="Tahoma"/>
            <family val="0"/>
          </rPr>
          <t>John E Nees:</t>
        </r>
        <r>
          <rPr>
            <sz val="8"/>
            <rFont val="Tahoma"/>
            <family val="0"/>
          </rPr>
          <t xml:space="preserve">
UP from 2wd to 1300</t>
        </r>
      </text>
    </comment>
    <comment ref="I21" authorId="0">
      <text>
        <r>
          <rPr>
            <b/>
            <sz val="8"/>
            <rFont val="Tahoma"/>
            <family val="0"/>
          </rPr>
          <t>John E Nees:</t>
        </r>
        <r>
          <rPr>
            <sz val="8"/>
            <rFont val="Tahoma"/>
            <family val="0"/>
          </rPr>
          <t xml:space="preserve">
Up from PST to IVT</t>
        </r>
      </text>
    </comment>
    <comment ref="L23" authorId="0">
      <text>
        <r>
          <rPr>
            <b/>
            <sz val="8"/>
            <rFont val="Tahoma"/>
            <family val="0"/>
          </rPr>
          <t>John E Nees:</t>
        </r>
        <r>
          <rPr>
            <sz val="8"/>
            <rFont val="Tahoma"/>
            <family val="0"/>
          </rPr>
          <t xml:space="preserve">
Base weight of tractor was determined w/ 380/90 R50 single rear tires and 2wd front tires
</t>
        </r>
      </text>
    </comment>
    <comment ref="I15" authorId="0">
      <text>
        <r>
          <rPr>
            <b/>
            <sz val="8"/>
            <rFont val="Tahoma"/>
            <family val="0"/>
          </rPr>
          <t>John E Nees:</t>
        </r>
        <r>
          <rPr>
            <sz val="8"/>
            <rFont val="Tahoma"/>
            <family val="0"/>
          </rPr>
          <t xml:space="preserve">
Base Weight of Tractor was determined w/ following
2wd front axle and tires
380/90 R50 Single Rear tires
PST transmission</t>
        </r>
      </text>
    </comment>
  </commentList>
</comments>
</file>

<file path=xl/sharedStrings.xml><?xml version="1.0" encoding="utf-8"?>
<sst xmlns="http://schemas.openxmlformats.org/spreadsheetml/2006/main" count="903" uniqueCount="163">
  <si>
    <t xml:space="preserve"> </t>
  </si>
  <si>
    <t>2WD</t>
  </si>
  <si>
    <t>Lb./Rear</t>
  </si>
  <si>
    <t>Lb./Front</t>
  </si>
  <si>
    <t>Code</t>
  </si>
  <si>
    <t>Front</t>
  </si>
  <si>
    <t>Rear</t>
  </si>
  <si>
    <t>R1W</t>
  </si>
  <si>
    <t>R1</t>
  </si>
  <si>
    <t>Rear - 165 lb. per Side</t>
  </si>
  <si>
    <t>Rear - 450 lb. per Side</t>
  </si>
  <si>
    <t>Vehicle Weight</t>
  </si>
  <si>
    <t>2wd</t>
  </si>
  <si>
    <t>Rear - 1400 lb. per Side</t>
  </si>
  <si>
    <t>Lb/PTO Hp</t>
  </si>
  <si>
    <t>Tractor Model</t>
  </si>
  <si>
    <t>Ballast Codes</t>
  </si>
  <si>
    <t>Rear psi</t>
  </si>
  <si>
    <t>F2</t>
  </si>
  <si>
    <t>16.5L-16.1</t>
  </si>
  <si>
    <t>11.00-24</t>
  </si>
  <si>
    <t>Front psi</t>
  </si>
  <si>
    <t>Rear 450 lb.   per Side</t>
  </si>
  <si>
    <t>Rear 165 lb. per Side</t>
  </si>
  <si>
    <t>Front Tire Data</t>
  </si>
  <si>
    <t>Rear 1400 lb. per Side</t>
  </si>
  <si>
    <t>Duals?</t>
  </si>
  <si>
    <t>BOTH</t>
  </si>
  <si>
    <t>Yes</t>
  </si>
  <si>
    <t>No</t>
  </si>
  <si>
    <t>Drawn</t>
  </si>
  <si>
    <t>Integral</t>
  </si>
  <si>
    <t>Front Axle</t>
  </si>
  <si>
    <t>BASE TRACTOR WEIGHT</t>
  </si>
  <si>
    <t>Ballast Code</t>
  </si>
  <si>
    <t>480/80R46</t>
  </si>
  <si>
    <t>520/85R42</t>
  </si>
  <si>
    <t>710/70R38</t>
  </si>
  <si>
    <t>380/90R54</t>
  </si>
  <si>
    <t>480/80R50</t>
  </si>
  <si>
    <t>520/85R46</t>
  </si>
  <si>
    <t>650/85R38</t>
  </si>
  <si>
    <t>620/70R46</t>
  </si>
  <si>
    <t>710/70R42</t>
  </si>
  <si>
    <t>710/70R42 (HD)</t>
  </si>
  <si>
    <t>710/70R38 (HD)</t>
  </si>
  <si>
    <t>800/70R38</t>
  </si>
  <si>
    <t>singles</t>
  </si>
  <si>
    <t>ILS</t>
  </si>
  <si>
    <t>PST</t>
  </si>
  <si>
    <t>IVT</t>
  </si>
  <si>
    <t>Rear Duals (Yes or No)</t>
  </si>
  <si>
    <t>Front Duals (Yes or No)</t>
  </si>
  <si>
    <t>Transmission</t>
  </si>
  <si>
    <t>Base Weight</t>
  </si>
  <si>
    <t>front</t>
  </si>
  <si>
    <t>rear</t>
  </si>
  <si>
    <t>all MFWD</t>
  </si>
  <si>
    <t xml:space="preserve">front </t>
  </si>
  <si>
    <t>front duals</t>
  </si>
  <si>
    <t>rear duals</t>
  </si>
  <si>
    <t>front wgts</t>
  </si>
  <si>
    <t>Frt wht support</t>
  </si>
  <si>
    <t>420/90R30</t>
  </si>
  <si>
    <t>16.9R30</t>
  </si>
  <si>
    <t>480/70R30</t>
  </si>
  <si>
    <t>290/90R38</t>
  </si>
  <si>
    <t>320/85R38</t>
  </si>
  <si>
    <t>380/85R34</t>
  </si>
  <si>
    <t>600/65R28</t>
  </si>
  <si>
    <t>320/80R42</t>
  </si>
  <si>
    <t>380/80R38</t>
  </si>
  <si>
    <t>420/85R34</t>
  </si>
  <si>
    <t>480/70R34</t>
  </si>
  <si>
    <t>540/65R34</t>
  </si>
  <si>
    <t>600/70R30</t>
  </si>
  <si>
    <t>-</t>
  </si>
  <si>
    <t>620/70R42</t>
  </si>
  <si>
    <t>320/90R54</t>
  </si>
  <si>
    <t>380/90R50</t>
  </si>
  <si>
    <t>18.4R46</t>
  </si>
  <si>
    <t>20.8R42</t>
  </si>
  <si>
    <t>Front Weights - 104 lb. each</t>
  </si>
  <si>
    <t>14.9R34</t>
  </si>
  <si>
    <t>18.4R28</t>
  </si>
  <si>
    <t>REAR DUALS</t>
  </si>
  <si>
    <t>Base weights and Weights Up</t>
  </si>
  <si>
    <t>Increased weights from Base Weight</t>
  </si>
  <si>
    <t>Displayed psi</t>
  </si>
  <si>
    <t>Recommended PSI</t>
  </si>
  <si>
    <t>NONE</t>
  </si>
  <si>
    <t>LIGHT
120</t>
  </si>
  <si>
    <t>MEDIUM
130</t>
  </si>
  <si>
    <t>HEAVY
140</t>
  </si>
  <si>
    <t xml:space="preserve">8030 BALLAST CALCULATOR </t>
  </si>
  <si>
    <t>Recommended Ballast Code/s</t>
  </si>
  <si>
    <t>Rear Grp Size</t>
  </si>
  <si>
    <t>Front Grp Size</t>
  </si>
  <si>
    <t>Step</t>
  </si>
  <si>
    <t>Tire Compatability</t>
  </si>
  <si>
    <t>RCI</t>
  </si>
  <si>
    <t>Size</t>
  </si>
  <si>
    <t xml:space="preserve"> GRAND TOTAL</t>
  </si>
  <si>
    <t>Front Weights
104 lb.</t>
  </si>
  <si>
    <t>Front Support
375 lb.</t>
  </si>
  <si>
    <t>620/75R30</t>
  </si>
  <si>
    <t>540/75R34</t>
  </si>
  <si>
    <t>Rear Singles</t>
  </si>
  <si>
    <t>Rear Duals</t>
  </si>
  <si>
    <t>Recommended Tire Pressures According to Weight</t>
  </si>
  <si>
    <t>Front Singles</t>
  </si>
  <si>
    <t xml:space="preserve"> Front Duals</t>
  </si>
  <si>
    <t>Implement Type</t>
  </si>
  <si>
    <t>N/A</t>
  </si>
  <si>
    <t>Selected</t>
  </si>
  <si>
    <t>Tractor Code</t>
  </si>
  <si>
    <t>S</t>
  </si>
  <si>
    <t>S=Weight Support Only</t>
  </si>
  <si>
    <t>Add to tractor code when:</t>
  </si>
  <si>
    <t>.. Fluid is added to front inners</t>
  </si>
  <si>
    <t>.. Front duals are used</t>
  </si>
  <si>
    <t>.. Fluid is added to front outer duals</t>
  </si>
  <si>
    <t>.. Quick coupler is removed</t>
  </si>
  <si>
    <t>Maximum obtainable tractor code</t>
  </si>
  <si>
    <t>Required Ballast for Integral Implements</t>
  </si>
  <si>
    <t>Weight to Add</t>
  </si>
  <si>
    <t>Weight Code</t>
  </si>
  <si>
    <t>This calculator is to be used to estimate the correct amount of ballast for a specific tractor with certain types of implements.  The recommended order codes and tire inflation are offered as starting points when ballasting for operations with several common types of implements.  Some deviations may be needed for specific circumstances.  For complete information on Performance Ballasting refer to the tractor's Operators Manual.</t>
  </si>
  <si>
    <t>Ballast Calculator Instructions:</t>
  </si>
  <si>
    <t>1.</t>
  </si>
  <si>
    <t>Use the drop down menus to fill in your tractor configuration, including; Model, Front Axle, Transmission, Tires, and Duals.</t>
  </si>
  <si>
    <t>2.</t>
  </si>
  <si>
    <t xml:space="preserve">      - If Drawn, continue by selecting the "Ballast Level": Light, Medium, or Heavy</t>
  </si>
  <si>
    <t>3.</t>
  </si>
  <si>
    <t>4.</t>
  </si>
  <si>
    <t>5.</t>
  </si>
  <si>
    <t>6.</t>
  </si>
  <si>
    <t>9404 &amp; 9264</t>
  </si>
  <si>
    <t>9408 &amp; 9228</t>
  </si>
  <si>
    <t>9412 &amp; 9228</t>
  </si>
  <si>
    <t>9401 &amp; 9021</t>
  </si>
  <si>
    <t>9404 &amp; 9228</t>
  </si>
  <si>
    <t>9416, 9228 &amp; 9283</t>
  </si>
  <si>
    <t>9422, 9228 &amp; 9276</t>
  </si>
  <si>
    <t>9408 &amp; 9228 &amp; 9021</t>
  </si>
  <si>
    <t>9412, 9228 &amp; 9283</t>
  </si>
  <si>
    <t>Front Tire Size</t>
  </si>
  <si>
    <t>Rear Tire Size</t>
  </si>
  <si>
    <t>Determine the tractor's main use and select using the drop down menu; Drawn or Integral</t>
  </si>
  <si>
    <t>8030 BALLAST CALCULATOR</t>
  </si>
  <si>
    <t>~ Scroll Down to use Ballast Calculator</t>
  </si>
  <si>
    <t xml:space="preserve">      - Notice the numbers in the columns on the right, this is totaling your tractor's base weight, without any added ballast</t>
  </si>
  <si>
    <t>After making the above selections, the recommended ballast codes appear in the yellow shaded box marked, 
"Recommended Ballast Code/s".</t>
  </si>
  <si>
    <t>Use the drop down menus to the right of the yellow shaded box to select each of the ballast codes that are recommended for factory installation (9000 Codes).</t>
  </si>
  <si>
    <r>
      <t>(Optional</t>
    </r>
    <r>
      <rPr>
        <sz val="11"/>
        <rFont val="Arial"/>
        <family val="2"/>
      </rPr>
      <t>: If Field Installing Weights</t>
    </r>
    <r>
      <rPr>
        <b/>
        <sz val="11"/>
        <rFont val="Arial"/>
        <family val="2"/>
      </rPr>
      <t>)</t>
    </r>
    <r>
      <rPr>
        <sz val="11"/>
        <rFont val="Arial"/>
        <family val="2"/>
      </rPr>
      <t xml:space="preserve"> Use the drop down menus in the "Field Installed Weights" section to add ballast to tractor.</t>
    </r>
  </si>
  <si>
    <t>Front Weight Support - 375 lb.</t>
  </si>
  <si>
    <t>Optional: FIELD INSTALLED WEIGHTS</t>
  </si>
  <si>
    <t>9408, 9228 &amp; 9021</t>
  </si>
  <si>
    <t>Review the yellow shaded boxes at the bottom of the page.  These boxes will show you: Weight Split, Total Vehicle Weight, Pounds per PTO Horsepower, and a recommended Tire Pressure.  Use the recommended ballast codes when ordering a tractor.</t>
  </si>
  <si>
    <r>
      <t>Note</t>
    </r>
    <r>
      <rPr>
        <sz val="11"/>
        <rFont val="Arial"/>
        <family val="2"/>
      </rPr>
      <t>: This calculator will allow you to select unorderable configurations.  This calculator is for the sole use of calculating the optimal weight and tire pressure for optimizing a tractor's performance.</t>
    </r>
  </si>
  <si>
    <t>http://www.deere.com/servlet/com.deere.u90785.productcatalog.view.servlets.PublicationsSearchServlet?tM=FR</t>
  </si>
  <si>
    <t>John Deere Implement Operator's Manual can be found at:</t>
  </si>
  <si>
    <t xml:space="preserve">      - If Integral, continue by selecting the Implement Code.  For more information on Implement Codes reference your 
        Implement Operator's Manual.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</si>
</sst>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29">
    <font>
      <sz val="10"/>
      <name val="Arial"/>
      <family val="0"/>
    </font>
    <font>
      <b/>
      <sz val="10"/>
      <name val="Arial"/>
      <family val="0"/>
    </font>
    <font>
      <i/>
      <sz val="10"/>
      <name val="Arial"/>
      <family val="0"/>
    </font>
    <font>
      <b/>
      <i/>
      <sz val="10"/>
      <name val="Arial"/>
      <family val="0"/>
    </font>
    <font>
      <sz val="7"/>
      <name val="Arial"/>
      <family val="2"/>
    </font>
    <font>
      <sz val="10"/>
      <color indexed="10"/>
      <name val="Arial"/>
      <family val="2"/>
    </font>
    <font>
      <b/>
      <sz val="10"/>
      <name val="Geneva"/>
      <family val="0"/>
    </font>
    <font>
      <sz val="8"/>
      <name val="Arial"/>
      <family val="2"/>
    </font>
    <font>
      <b/>
      <u val="single"/>
      <sz val="18"/>
      <name val="Geneva"/>
      <family val="0"/>
    </font>
    <font>
      <b/>
      <sz val="14"/>
      <name val="Arial"/>
      <family val="2"/>
    </font>
    <font>
      <sz val="10"/>
      <color indexed="8"/>
      <name val="Arial"/>
      <family val="2"/>
    </font>
    <font>
      <b/>
      <sz val="10"/>
      <color indexed="8"/>
      <name val="Arial"/>
      <family val="0"/>
    </font>
    <font>
      <sz val="7"/>
      <color indexed="8"/>
      <name val="Arial"/>
      <family val="2"/>
    </font>
    <font>
      <b/>
      <sz val="10"/>
      <color indexed="10"/>
      <name val="Arial"/>
      <family val="2"/>
    </font>
    <font>
      <b/>
      <sz val="12"/>
      <name val="Arial"/>
      <family val="2"/>
    </font>
    <font>
      <sz val="10"/>
      <color indexed="58"/>
      <name val="Arial"/>
      <family val="2"/>
    </font>
    <font>
      <b/>
      <sz val="8"/>
      <name val="Arial"/>
      <family val="2"/>
    </font>
    <font>
      <b/>
      <sz val="8"/>
      <color indexed="10"/>
      <name val="Arial"/>
      <family val="2"/>
    </font>
    <font>
      <sz val="8"/>
      <name val="Tahoma"/>
      <family val="2"/>
    </font>
    <font>
      <u val="single"/>
      <sz val="7.5"/>
      <color indexed="12"/>
      <name val="Arial"/>
      <family val="0"/>
    </font>
    <font>
      <u val="single"/>
      <sz val="7.5"/>
      <color indexed="36"/>
      <name val="Arial"/>
      <family val="0"/>
    </font>
    <font>
      <b/>
      <sz val="8"/>
      <name val="Tahoma"/>
      <family val="0"/>
    </font>
    <font>
      <sz val="16"/>
      <name val="Arial"/>
      <family val="0"/>
    </font>
    <font>
      <b/>
      <u val="single"/>
      <sz val="20"/>
      <name val="Arial"/>
      <family val="2"/>
    </font>
    <font>
      <sz val="12"/>
      <name val="Arial"/>
      <family val="2"/>
    </font>
    <font>
      <sz val="11"/>
      <name val="Arial"/>
      <family val="2"/>
    </font>
    <font>
      <b/>
      <sz val="11"/>
      <name val="Arial"/>
      <family val="2"/>
    </font>
    <font>
      <b/>
      <sz val="11"/>
      <color indexed="10"/>
      <name val="Arial"/>
      <family val="2"/>
    </font>
    <font>
      <u val="single"/>
      <sz val="11"/>
      <color indexed="12"/>
      <name val="Arial"/>
      <family val="0"/>
    </font>
  </fonts>
  <fills count="11">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indexed="49"/>
        <bgColor indexed="64"/>
      </patternFill>
    </fill>
  </fills>
  <borders count="29">
    <border>
      <left/>
      <right/>
      <top/>
      <bottom/>
      <diagonal/>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style="medium"/>
      <bottom>
        <color indexed="63"/>
      </bottom>
    </border>
    <border>
      <left style="medium"/>
      <right style="medium"/>
      <top>
        <color indexed="63"/>
      </top>
      <bottom style="medium"/>
    </border>
    <border>
      <left style="medium"/>
      <right style="medium"/>
      <top style="medium"/>
      <bottom style="thin"/>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cellStyleXfs>
  <cellXfs count="275">
    <xf numFmtId="0" fontId="0" fillId="0" borderId="0" xfId="0" applyAlignment="1">
      <alignment/>
    </xf>
    <xf numFmtId="0" fontId="4" fillId="0" borderId="0" xfId="0" applyFont="1" applyAlignment="1" applyProtection="1">
      <alignment horizontal="center"/>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Border="1" applyAlignment="1" applyProtection="1">
      <alignment/>
      <protection/>
    </xf>
    <xf numFmtId="1" fontId="0" fillId="0" borderId="0" xfId="0" applyNumberFormat="1" applyBorder="1" applyAlignment="1" applyProtection="1">
      <alignment horizontal="center"/>
      <protection/>
    </xf>
    <xf numFmtId="0" fontId="0" fillId="0" borderId="0" xfId="0" applyBorder="1" applyAlignment="1" applyProtection="1">
      <alignment horizontal="center"/>
      <protection/>
    </xf>
    <xf numFmtId="0" fontId="1" fillId="0" borderId="0" xfId="0" applyFont="1" applyBorder="1" applyAlignment="1" applyProtection="1">
      <alignment horizontal="center"/>
      <protection/>
    </xf>
    <xf numFmtId="0" fontId="0" fillId="0" borderId="0" xfId="0" applyBorder="1" applyAlignment="1" applyProtection="1">
      <alignment horizontal="centerContinuous"/>
      <protection/>
    </xf>
    <xf numFmtId="0" fontId="6" fillId="0" borderId="0" xfId="0" applyFont="1" applyAlignment="1" applyProtection="1">
      <alignment horizontal="right"/>
      <protection/>
    </xf>
    <xf numFmtId="0" fontId="0" fillId="0" borderId="0" xfId="0" applyBorder="1" applyAlignment="1">
      <alignment/>
    </xf>
    <xf numFmtId="0" fontId="0" fillId="0" borderId="0" xfId="0" applyBorder="1" applyAlignment="1">
      <alignment horizontal="center"/>
    </xf>
    <xf numFmtId="0" fontId="1" fillId="0" borderId="0" xfId="0" applyFont="1" applyBorder="1" applyAlignment="1" applyProtection="1">
      <alignment/>
      <protection/>
    </xf>
    <xf numFmtId="0" fontId="12" fillId="0" borderId="0" xfId="0" applyFont="1" applyAlignment="1" applyProtection="1">
      <alignment horizontal="center"/>
      <protection/>
    </xf>
    <xf numFmtId="0" fontId="10" fillId="0" borderId="0" xfId="0" applyFont="1" applyAlignment="1" applyProtection="1">
      <alignment/>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Alignment="1" applyProtection="1">
      <alignment vertical="center" wrapText="1"/>
      <protection/>
    </xf>
    <xf numFmtId="0" fontId="10" fillId="0" borderId="0" xfId="0" applyFont="1" applyAlignment="1" applyProtection="1">
      <alignment/>
      <protection/>
    </xf>
    <xf numFmtId="0" fontId="0" fillId="0" borderId="0" xfId="0" applyBorder="1" applyAlignment="1" applyProtection="1">
      <alignment horizontal="left"/>
      <protection/>
    </xf>
    <xf numFmtId="0" fontId="10" fillId="0" borderId="0" xfId="0" applyFont="1" applyBorder="1" applyAlignment="1" applyProtection="1">
      <alignment horizontal="center"/>
      <protection/>
    </xf>
    <xf numFmtId="0" fontId="5" fillId="0" borderId="0" xfId="0" applyFont="1" applyBorder="1" applyAlignment="1" applyProtection="1">
      <alignment horizontal="center"/>
      <protection/>
    </xf>
    <xf numFmtId="0" fontId="10" fillId="0" borderId="0" xfId="0" applyFont="1" applyBorder="1" applyAlignment="1" applyProtection="1">
      <alignment/>
      <protection/>
    </xf>
    <xf numFmtId="0" fontId="1"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10" fillId="0" borderId="0" xfId="0" applyFont="1" applyBorder="1" applyAlignment="1" applyProtection="1">
      <alignment vertical="center"/>
      <protection/>
    </xf>
    <xf numFmtId="0" fontId="10" fillId="0" borderId="0" xfId="0" applyFont="1" applyBorder="1" applyAlignment="1" applyProtection="1">
      <alignment horizontal="center" vertical="center"/>
      <protection/>
    </xf>
    <xf numFmtId="0" fontId="0" fillId="0" borderId="1" xfId="0" applyBorder="1" applyAlignment="1" applyProtection="1">
      <alignment/>
      <protection/>
    </xf>
    <xf numFmtId="0" fontId="0" fillId="0" borderId="1" xfId="0" applyBorder="1" applyAlignment="1">
      <alignment/>
    </xf>
    <xf numFmtId="0" fontId="0" fillId="0" borderId="0" xfId="0" applyAlignment="1">
      <alignment horizontal="center"/>
    </xf>
    <xf numFmtId="0" fontId="0" fillId="0" borderId="0" xfId="0" applyAlignment="1">
      <alignment horizontal="left"/>
    </xf>
    <xf numFmtId="0" fontId="0" fillId="0" borderId="1" xfId="0" applyBorder="1" applyAlignment="1" applyProtection="1">
      <alignment horizontal="center"/>
      <protection/>
    </xf>
    <xf numFmtId="0" fontId="0" fillId="0" borderId="1" xfId="0" applyBorder="1" applyAlignment="1">
      <alignment horizontal="center"/>
    </xf>
    <xf numFmtId="0" fontId="0" fillId="0" borderId="1" xfId="0" applyFont="1" applyBorder="1" applyAlignment="1" applyProtection="1">
      <alignment horizontal="center"/>
      <protection/>
    </xf>
    <xf numFmtId="0" fontId="0" fillId="0" borderId="1" xfId="0" applyFont="1" applyBorder="1" applyAlignment="1" applyProtection="1">
      <alignment/>
      <protection/>
    </xf>
    <xf numFmtId="0" fontId="0" fillId="0" borderId="1" xfId="0" applyFont="1" applyBorder="1" applyAlignment="1" applyProtection="1">
      <alignment horizontal="center" vertical="center"/>
      <protection/>
    </xf>
    <xf numFmtId="0" fontId="0" fillId="0" borderId="1" xfId="0" applyFont="1" applyBorder="1" applyAlignment="1" applyProtection="1">
      <alignment vertical="center"/>
      <protection/>
    </xf>
    <xf numFmtId="1" fontId="0" fillId="0" borderId="1" xfId="0" applyNumberFormat="1" applyBorder="1" applyAlignment="1" applyProtection="1">
      <alignment horizontal="center"/>
      <protection/>
    </xf>
    <xf numFmtId="0" fontId="0" fillId="0" borderId="1" xfId="0" applyBorder="1" applyAlignment="1">
      <alignment horizontal="left"/>
    </xf>
    <xf numFmtId="0" fontId="0" fillId="0" borderId="1" xfId="0" applyFill="1" applyBorder="1" applyAlignment="1">
      <alignment/>
    </xf>
    <xf numFmtId="0" fontId="9" fillId="0" borderId="0" xfId="0" applyFont="1" applyBorder="1" applyAlignment="1">
      <alignment horizontal="center"/>
    </xf>
    <xf numFmtId="0" fontId="0" fillId="0" borderId="0" xfId="0" applyBorder="1" applyAlignment="1">
      <alignment horizontal="left"/>
    </xf>
    <xf numFmtId="0" fontId="0" fillId="0" borderId="0" xfId="0" applyFill="1" applyBorder="1" applyAlignment="1">
      <alignment/>
    </xf>
    <xf numFmtId="0" fontId="14" fillId="0" borderId="0" xfId="0" applyFont="1" applyAlignment="1" applyProtection="1">
      <alignment horizontal="center" vertical="center"/>
      <protection/>
    </xf>
    <xf numFmtId="0" fontId="14" fillId="0" borderId="0" xfId="0" applyFont="1" applyAlignment="1" applyProtection="1">
      <alignment horizontal="center"/>
      <protection/>
    </xf>
    <xf numFmtId="0" fontId="0" fillId="0" borderId="0" xfId="0" applyAlignment="1">
      <alignment horizontal="right"/>
    </xf>
    <xf numFmtId="0" fontId="0" fillId="0" borderId="1" xfId="0" applyFill="1" applyBorder="1" applyAlignment="1" applyProtection="1">
      <alignment/>
      <protection/>
    </xf>
    <xf numFmtId="0" fontId="0" fillId="0" borderId="0" xfId="0" applyBorder="1" applyAlignment="1">
      <alignment/>
    </xf>
    <xf numFmtId="0" fontId="0" fillId="0" borderId="0" xfId="0" applyBorder="1" applyAlignment="1">
      <alignment horizontal="center" wrapText="1"/>
    </xf>
    <xf numFmtId="0" fontId="0" fillId="0" borderId="0" xfId="0" applyFill="1" applyBorder="1" applyAlignment="1">
      <alignment horizontal="left"/>
    </xf>
    <xf numFmtId="0" fontId="0" fillId="0" borderId="0" xfId="0" applyFill="1" applyBorder="1" applyAlignment="1">
      <alignment horizontal="center"/>
    </xf>
    <xf numFmtId="0" fontId="1" fillId="0" borderId="0" xfId="0" applyFont="1" applyBorder="1" applyAlignment="1">
      <alignment horizontal="center" wrapText="1"/>
    </xf>
    <xf numFmtId="0" fontId="0" fillId="0" borderId="0" xfId="0" applyBorder="1" applyAlignment="1">
      <alignment horizontal="center" vertical="top" wrapText="1"/>
    </xf>
    <xf numFmtId="0" fontId="14" fillId="0" borderId="0" xfId="0" applyFont="1" applyAlignment="1" applyProtection="1">
      <alignment vertical="center"/>
      <protection/>
    </xf>
    <xf numFmtId="0" fontId="0" fillId="0" borderId="0" xfId="0" applyBorder="1" applyAlignment="1" applyProtection="1">
      <alignment horizontal="center" vertical="justify"/>
      <protection/>
    </xf>
    <xf numFmtId="0" fontId="0" fillId="0" borderId="2" xfId="0" applyBorder="1" applyAlignment="1" applyProtection="1">
      <alignment/>
      <protection/>
    </xf>
    <xf numFmtId="0" fontId="0" fillId="0" borderId="0" xfId="0" applyBorder="1" applyAlignment="1">
      <alignment horizontal="right"/>
    </xf>
    <xf numFmtId="0" fontId="0" fillId="0" borderId="3" xfId="0" applyBorder="1" applyAlignment="1">
      <alignment/>
    </xf>
    <xf numFmtId="0" fontId="0" fillId="0" borderId="1" xfId="0" applyFill="1" applyBorder="1" applyAlignment="1">
      <alignment horizontal="center"/>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1" xfId="0" applyFill="1" applyBorder="1" applyAlignment="1" applyProtection="1">
      <alignment horizontal="center"/>
      <protection/>
    </xf>
    <xf numFmtId="0" fontId="0" fillId="0" borderId="0" xfId="0" applyAlignment="1" applyProtection="1">
      <alignment vertical="top" wrapText="1"/>
      <protection/>
    </xf>
    <xf numFmtId="0" fontId="0" fillId="0" borderId="1" xfId="0" applyBorder="1" applyAlignment="1">
      <alignment horizontal="left" wrapText="1"/>
    </xf>
    <xf numFmtId="0" fontId="0" fillId="0" borderId="1" xfId="0" applyBorder="1" applyAlignment="1">
      <alignment horizontal="center" wrapText="1"/>
    </xf>
    <xf numFmtId="0" fontId="0" fillId="0" borderId="1" xfId="0" applyBorder="1" applyAlignment="1">
      <alignment horizontal="center" vertical="top" wrapText="1"/>
    </xf>
    <xf numFmtId="0" fontId="0" fillId="0" borderId="0" xfId="0" applyFill="1" applyBorder="1" applyAlignment="1" applyProtection="1">
      <alignment/>
      <protection/>
    </xf>
    <xf numFmtId="0" fontId="0" fillId="0" borderId="1" xfId="0" applyBorder="1" applyAlignment="1" applyProtection="1">
      <alignment horizontal="center" wrapText="1"/>
      <protection/>
    </xf>
    <xf numFmtId="0" fontId="0" fillId="2" borderId="1" xfId="0" applyFill="1" applyBorder="1" applyAlignment="1">
      <alignment/>
    </xf>
    <xf numFmtId="0" fontId="0" fillId="3" borderId="7" xfId="0" applyFont="1" applyFill="1" applyBorder="1" applyAlignment="1" applyProtection="1">
      <alignment horizontal="right" vertical="center"/>
      <protection/>
    </xf>
    <xf numFmtId="0" fontId="0" fillId="3" borderId="8" xfId="0" applyFont="1" applyFill="1" applyBorder="1" applyAlignment="1" applyProtection="1">
      <alignment horizontal="left" vertical="center"/>
      <protection/>
    </xf>
    <xf numFmtId="0" fontId="13" fillId="3" borderId="8" xfId="0" applyFont="1" applyFill="1" applyBorder="1" applyAlignment="1" applyProtection="1">
      <alignment horizontal="center" vertical="center"/>
      <protection/>
    </xf>
    <xf numFmtId="0" fontId="13" fillId="3" borderId="9" xfId="0" applyFont="1" applyFill="1" applyBorder="1" applyAlignment="1" applyProtection="1">
      <alignment horizontal="center" vertical="center"/>
      <protection/>
    </xf>
    <xf numFmtId="1" fontId="0" fillId="3" borderId="10" xfId="0" applyNumberFormat="1" applyFill="1" applyBorder="1" applyAlignment="1" applyProtection="1">
      <alignment horizontal="center"/>
      <protection/>
    </xf>
    <xf numFmtId="0" fontId="13" fillId="3" borderId="8" xfId="0" applyFont="1" applyFill="1" applyBorder="1" applyAlignment="1" applyProtection="1">
      <alignment vertical="center"/>
      <protection/>
    </xf>
    <xf numFmtId="0" fontId="0" fillId="3" borderId="8" xfId="0" applyFill="1" applyBorder="1" applyAlignment="1">
      <alignment vertical="center"/>
    </xf>
    <xf numFmtId="0" fontId="13" fillId="3" borderId="9" xfId="0" applyFont="1" applyFill="1" applyBorder="1" applyAlignment="1">
      <alignment horizontal="right" vertical="center"/>
    </xf>
    <xf numFmtId="0" fontId="13" fillId="3" borderId="8" xfId="0" applyFont="1" applyFill="1" applyBorder="1" applyAlignment="1" applyProtection="1">
      <alignment horizontal="left" vertical="center"/>
      <protection/>
    </xf>
    <xf numFmtId="0" fontId="13" fillId="3" borderId="8" xfId="0" applyFont="1" applyFill="1" applyBorder="1" applyAlignment="1">
      <alignment horizontal="right" vertical="center"/>
    </xf>
    <xf numFmtId="0" fontId="7" fillId="3" borderId="8" xfId="0" applyFont="1" applyFill="1" applyBorder="1" applyAlignment="1" applyProtection="1">
      <alignment horizontal="center" vertical="center"/>
      <protection/>
    </xf>
    <xf numFmtId="0" fontId="13" fillId="3" borderId="9" xfId="0" applyFont="1" applyFill="1" applyBorder="1" applyAlignment="1" applyProtection="1">
      <alignment horizontal="right" vertical="center"/>
      <protection/>
    </xf>
    <xf numFmtId="1" fontId="7" fillId="3" borderId="8" xfId="0" applyNumberFormat="1" applyFont="1" applyFill="1" applyBorder="1" applyAlignment="1" applyProtection="1">
      <alignment horizontal="center" vertical="center"/>
      <protection/>
    </xf>
    <xf numFmtId="0" fontId="16" fillId="3" borderId="9" xfId="0" applyFont="1" applyFill="1" applyBorder="1" applyAlignment="1" applyProtection="1">
      <alignment horizontal="center" vertical="center"/>
      <protection/>
    </xf>
    <xf numFmtId="0" fontId="0" fillId="3" borderId="10" xfId="0" applyFill="1" applyBorder="1" applyAlignment="1" applyProtection="1">
      <alignment/>
      <protection/>
    </xf>
    <xf numFmtId="0" fontId="17" fillId="3" borderId="8" xfId="0" applyFont="1" applyFill="1" applyBorder="1" applyAlignment="1" applyProtection="1">
      <alignment horizontal="center" vertical="center"/>
      <protection/>
    </xf>
    <xf numFmtId="0" fontId="0" fillId="3" borderId="10" xfId="0" applyFill="1" applyBorder="1" applyAlignment="1" applyProtection="1">
      <alignment horizontal="center"/>
      <protection/>
    </xf>
    <xf numFmtId="1" fontId="1" fillId="3" borderId="10" xfId="0" applyNumberFormat="1" applyFont="1" applyFill="1" applyBorder="1" applyAlignment="1" applyProtection="1">
      <alignment horizontal="center"/>
      <protection/>
    </xf>
    <xf numFmtId="0" fontId="1" fillId="3" borderId="11" xfId="0" applyFont="1" applyFill="1" applyBorder="1" applyAlignment="1" applyProtection="1">
      <alignment horizontal="right"/>
      <protection/>
    </xf>
    <xf numFmtId="0" fontId="1" fillId="3" borderId="11" xfId="0" applyFont="1" applyFill="1" applyBorder="1" applyAlignment="1" applyProtection="1">
      <alignment horizontal="center" vertical="center" wrapText="1"/>
      <protection/>
    </xf>
    <xf numFmtId="0" fontId="7" fillId="3" borderId="10"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xf>
    <xf numFmtId="0" fontId="0" fillId="3" borderId="10" xfId="0" applyFill="1" applyBorder="1" applyAlignment="1" applyProtection="1">
      <alignment vertical="center" wrapText="1"/>
      <protection/>
    </xf>
    <xf numFmtId="0" fontId="1" fillId="3" borderId="10" xfId="0" applyFont="1" applyFill="1" applyBorder="1" applyAlignment="1" applyProtection="1">
      <alignment horizontal="center"/>
      <protection/>
    </xf>
    <xf numFmtId="1" fontId="1" fillId="3" borderId="10" xfId="0" applyNumberFormat="1" applyFont="1" applyFill="1" applyBorder="1" applyAlignment="1" applyProtection="1">
      <alignment horizontal="center" vertical="center" wrapText="1"/>
      <protection/>
    </xf>
    <xf numFmtId="0" fontId="1" fillId="3" borderId="10" xfId="0" applyFont="1" applyFill="1" applyBorder="1" applyAlignment="1" applyProtection="1">
      <alignment horizontal="center" vertical="center" wrapText="1"/>
      <protection/>
    </xf>
    <xf numFmtId="1" fontId="1" fillId="4" borderId="10" xfId="0" applyNumberFormat="1" applyFont="1" applyFill="1" applyBorder="1" applyAlignment="1" applyProtection="1">
      <alignment horizontal="center"/>
      <protection/>
    </xf>
    <xf numFmtId="1" fontId="11" fillId="4" borderId="10" xfId="0" applyNumberFormat="1" applyFont="1" applyFill="1" applyBorder="1" applyAlignment="1" applyProtection="1">
      <alignment horizontal="center"/>
      <protection/>
    </xf>
    <xf numFmtId="167" fontId="1" fillId="4" borderId="12" xfId="0" applyNumberFormat="1" applyFont="1" applyFill="1" applyBorder="1" applyAlignment="1" applyProtection="1">
      <alignment horizontal="center"/>
      <protection/>
    </xf>
    <xf numFmtId="0" fontId="1" fillId="3" borderId="13" xfId="0" applyFont="1" applyFill="1" applyBorder="1" applyAlignment="1" applyProtection="1">
      <alignment horizontal="center"/>
      <protection/>
    </xf>
    <xf numFmtId="0" fontId="1" fillId="3" borderId="10" xfId="0" applyFont="1" applyFill="1" applyBorder="1" applyAlignment="1" applyProtection="1">
      <alignment horizontal="center" vertical="center"/>
      <protection/>
    </xf>
    <xf numFmtId="0" fontId="7" fillId="0" borderId="1" xfId="0" applyFont="1" applyFill="1" applyBorder="1" applyAlignment="1" applyProtection="1">
      <alignment horizontal="center"/>
      <protection/>
    </xf>
    <xf numFmtId="0" fontId="7" fillId="0" borderId="1" xfId="0" applyFont="1" applyBorder="1" applyAlignment="1" applyProtection="1">
      <alignment horizontal="center"/>
      <protection/>
    </xf>
    <xf numFmtId="0" fontId="0" fillId="5" borderId="14" xfId="0" applyFill="1" applyBorder="1" applyAlignment="1" applyProtection="1">
      <alignment/>
      <protection/>
    </xf>
    <xf numFmtId="0" fontId="4" fillId="5" borderId="0" xfId="0" applyFont="1" applyFill="1" applyBorder="1" applyAlignment="1" applyProtection="1">
      <alignment horizontal="center"/>
      <protection/>
    </xf>
    <xf numFmtId="0" fontId="1" fillId="5" borderId="0" xfId="0" applyFont="1" applyFill="1" applyBorder="1" applyAlignment="1" applyProtection="1">
      <alignment horizontal="center"/>
      <protection/>
    </xf>
    <xf numFmtId="0" fontId="1" fillId="5" borderId="15" xfId="0" applyFont="1" applyFill="1" applyBorder="1" applyAlignment="1" applyProtection="1">
      <alignment horizontal="center"/>
      <protection/>
    </xf>
    <xf numFmtId="0" fontId="0" fillId="5" borderId="15" xfId="0" applyFont="1" applyFill="1" applyBorder="1" applyAlignment="1" applyProtection="1">
      <alignment horizontal="center"/>
      <protection/>
    </xf>
    <xf numFmtId="0" fontId="1" fillId="5" borderId="16" xfId="0" applyFont="1" applyFill="1" applyBorder="1" applyAlignment="1" applyProtection="1">
      <alignment horizontal="center"/>
      <protection/>
    </xf>
    <xf numFmtId="0" fontId="0" fillId="5" borderId="17" xfId="0" applyFill="1" applyBorder="1" applyAlignment="1" applyProtection="1">
      <alignment/>
      <protection/>
    </xf>
    <xf numFmtId="0" fontId="0" fillId="5" borderId="17" xfId="0" applyFill="1" applyBorder="1" applyAlignment="1" applyProtection="1">
      <alignment vertical="center" wrapText="1"/>
      <protection/>
    </xf>
    <xf numFmtId="0" fontId="0" fillId="5" borderId="16" xfId="0" applyFill="1" applyBorder="1" applyAlignment="1" applyProtection="1">
      <alignment/>
      <protection/>
    </xf>
    <xf numFmtId="0" fontId="0" fillId="5" borderId="14" xfId="0" applyFill="1" applyBorder="1" applyAlignment="1" applyProtection="1">
      <alignment vertical="center" wrapText="1"/>
      <protection/>
    </xf>
    <xf numFmtId="0" fontId="0" fillId="5" borderId="18" xfId="0" applyFill="1" applyBorder="1" applyAlignment="1" applyProtection="1">
      <alignment/>
      <protection/>
    </xf>
    <xf numFmtId="0" fontId="4" fillId="5" borderId="15" xfId="0" applyFont="1" applyFill="1" applyBorder="1" applyAlignment="1" applyProtection="1">
      <alignment horizontal="center"/>
      <protection/>
    </xf>
    <xf numFmtId="0" fontId="12" fillId="5" borderId="15" xfId="0" applyFont="1" applyFill="1" applyBorder="1" applyAlignment="1" applyProtection="1">
      <alignment horizontal="center"/>
      <protection/>
    </xf>
    <xf numFmtId="0" fontId="10" fillId="5" borderId="15" xfId="0" applyFont="1" applyFill="1" applyBorder="1" applyAlignment="1" applyProtection="1">
      <alignment horizontal="center"/>
      <protection/>
    </xf>
    <xf numFmtId="0" fontId="0" fillId="5" borderId="15" xfId="0" applyFill="1" applyBorder="1" applyAlignment="1" applyProtection="1">
      <alignment/>
      <protection/>
    </xf>
    <xf numFmtId="0" fontId="0" fillId="5" borderId="0" xfId="0" applyFill="1" applyBorder="1" applyAlignment="1" applyProtection="1">
      <alignment horizontal="right"/>
      <protection/>
    </xf>
    <xf numFmtId="0" fontId="0" fillId="5" borderId="0" xfId="0" applyFill="1" applyBorder="1" applyAlignment="1" applyProtection="1">
      <alignment horizontal="center"/>
      <protection/>
    </xf>
    <xf numFmtId="0" fontId="10" fillId="5" borderId="0" xfId="0" applyFont="1" applyFill="1" applyBorder="1" applyAlignment="1" applyProtection="1">
      <alignment horizontal="center"/>
      <protection/>
    </xf>
    <xf numFmtId="0" fontId="11" fillId="5" borderId="0" xfId="0" applyFont="1" applyFill="1" applyBorder="1" applyAlignment="1" applyProtection="1">
      <alignment horizontal="center"/>
      <protection/>
    </xf>
    <xf numFmtId="1" fontId="11" fillId="5" borderId="0" xfId="0" applyNumberFormat="1" applyFont="1" applyFill="1" applyBorder="1" applyAlignment="1" applyProtection="1">
      <alignment horizontal="center"/>
      <protection/>
    </xf>
    <xf numFmtId="0" fontId="1" fillId="5" borderId="0" xfId="0" applyFont="1" applyFill="1" applyBorder="1" applyAlignment="1" applyProtection="1">
      <alignment vertical="center"/>
      <protection/>
    </xf>
    <xf numFmtId="0" fontId="1" fillId="5" borderId="0" xfId="0" applyFont="1" applyFill="1" applyBorder="1" applyAlignment="1" applyProtection="1">
      <alignment horizontal="right" vertical="center"/>
      <protection/>
    </xf>
    <xf numFmtId="1" fontId="0" fillId="5" borderId="0" xfId="0" applyNumberFormat="1" applyFill="1" applyBorder="1" applyAlignment="1" applyProtection="1">
      <alignment horizontal="center"/>
      <protection/>
    </xf>
    <xf numFmtId="0" fontId="1" fillId="5" borderId="15" xfId="0" applyFont="1" applyFill="1" applyBorder="1" applyAlignment="1" applyProtection="1">
      <alignment vertical="center"/>
      <protection/>
    </xf>
    <xf numFmtId="0" fontId="1" fillId="5" borderId="15" xfId="0" applyFont="1" applyFill="1" applyBorder="1" applyAlignment="1" applyProtection="1">
      <alignment horizontal="right" vertical="center"/>
      <protection/>
    </xf>
    <xf numFmtId="1" fontId="0" fillId="5" borderId="15" xfId="0" applyNumberFormat="1" applyFill="1" applyBorder="1" applyAlignment="1" applyProtection="1">
      <alignment horizontal="center"/>
      <protection/>
    </xf>
    <xf numFmtId="0" fontId="3" fillId="5" borderId="0" xfId="0" applyFont="1" applyFill="1" applyBorder="1" applyAlignment="1" applyProtection="1">
      <alignment horizontal="right"/>
      <protection/>
    </xf>
    <xf numFmtId="0" fontId="2" fillId="5" borderId="0" xfId="0" applyFont="1" applyFill="1" applyBorder="1" applyAlignment="1">
      <alignment/>
    </xf>
    <xf numFmtId="0" fontId="1" fillId="5" borderId="19" xfId="0" applyFont="1" applyFill="1" applyBorder="1" applyAlignment="1" applyProtection="1">
      <alignment vertical="center"/>
      <protection/>
    </xf>
    <xf numFmtId="0" fontId="1" fillId="5" borderId="19" xfId="0" applyFont="1" applyFill="1" applyBorder="1" applyAlignment="1" applyProtection="1">
      <alignment horizontal="right" vertical="center"/>
      <protection/>
    </xf>
    <xf numFmtId="1" fontId="1" fillId="5" borderId="19" xfId="0" applyNumberFormat="1" applyFont="1" applyFill="1" applyBorder="1" applyAlignment="1" applyProtection="1">
      <alignment horizontal="center"/>
      <protection/>
    </xf>
    <xf numFmtId="0" fontId="0" fillId="5" borderId="19" xfId="0" applyFill="1" applyBorder="1" applyAlignment="1" applyProtection="1">
      <alignment/>
      <protection/>
    </xf>
    <xf numFmtId="0" fontId="1" fillId="5" borderId="20" xfId="0" applyFont="1" applyFill="1" applyBorder="1" applyAlignment="1" applyProtection="1">
      <alignment vertical="center"/>
      <protection/>
    </xf>
    <xf numFmtId="0" fontId="1" fillId="5" borderId="8" xfId="0" applyFont="1" applyFill="1" applyBorder="1" applyAlignment="1" applyProtection="1">
      <alignment horizontal="right"/>
      <protection/>
    </xf>
    <xf numFmtId="0" fontId="1" fillId="5" borderId="8" xfId="0" applyFont="1" applyFill="1" applyBorder="1" applyAlignment="1">
      <alignment horizontal="right"/>
    </xf>
    <xf numFmtId="1" fontId="16" fillId="5" borderId="0" xfId="0" applyNumberFormat="1" applyFont="1" applyFill="1" applyBorder="1" applyAlignment="1" applyProtection="1">
      <alignment horizontal="center" vertical="center"/>
      <protection/>
    </xf>
    <xf numFmtId="1" fontId="1" fillId="5" borderId="0" xfId="0" applyNumberFormat="1" applyFont="1" applyFill="1" applyBorder="1" applyAlignment="1" applyProtection="1">
      <alignment horizontal="center" vertical="center" wrapText="1"/>
      <protection/>
    </xf>
    <xf numFmtId="0" fontId="1" fillId="5" borderId="15" xfId="0" applyFont="1" applyFill="1" applyBorder="1" applyAlignment="1" applyProtection="1">
      <alignment horizontal="center"/>
      <protection/>
    </xf>
    <xf numFmtId="0" fontId="1" fillId="5" borderId="15" xfId="0" applyFont="1" applyFill="1" applyBorder="1" applyAlignment="1" applyProtection="1">
      <alignment horizontal="right"/>
      <protection/>
    </xf>
    <xf numFmtId="0" fontId="13" fillId="5" borderId="0" xfId="0" applyFont="1" applyFill="1" applyBorder="1" applyAlignment="1" applyProtection="1">
      <alignment horizontal="right" vertical="center"/>
      <protection/>
    </xf>
    <xf numFmtId="0" fontId="13" fillId="5" borderId="0" xfId="0" applyFont="1" applyFill="1" applyBorder="1" applyAlignment="1" applyProtection="1">
      <alignment horizontal="center" vertical="center"/>
      <protection/>
    </xf>
    <xf numFmtId="0" fontId="0" fillId="5" borderId="0" xfId="0" applyFill="1" applyBorder="1" applyAlignment="1" applyProtection="1">
      <alignment/>
      <protection/>
    </xf>
    <xf numFmtId="0" fontId="0" fillId="5" borderId="0" xfId="0" applyFill="1" applyBorder="1" applyAlignment="1" applyProtection="1">
      <alignment vertical="center" wrapText="1"/>
      <protection/>
    </xf>
    <xf numFmtId="1" fontId="13" fillId="5" borderId="17" xfId="0" applyNumberFormat="1" applyFont="1" applyFill="1" applyBorder="1" applyAlignment="1" applyProtection="1">
      <alignment horizontal="left" vertical="center"/>
      <protection/>
    </xf>
    <xf numFmtId="0" fontId="0" fillId="5" borderId="20" xfId="0" applyFill="1" applyBorder="1" applyAlignment="1" applyProtection="1">
      <alignment/>
      <protection/>
    </xf>
    <xf numFmtId="0" fontId="12" fillId="5" borderId="0" xfId="0" applyFont="1" applyFill="1" applyBorder="1" applyAlignment="1" applyProtection="1">
      <alignment horizontal="center"/>
      <protection/>
    </xf>
    <xf numFmtId="0" fontId="13" fillId="5" borderId="0" xfId="0" applyFont="1" applyFill="1" applyBorder="1" applyAlignment="1" applyProtection="1">
      <alignment horizontal="center"/>
      <protection/>
    </xf>
    <xf numFmtId="0" fontId="0" fillId="0" borderId="3" xfId="0" applyBorder="1" applyAlignment="1">
      <alignment horizontal="center"/>
    </xf>
    <xf numFmtId="1" fontId="1" fillId="5" borderId="0" xfId="0" applyNumberFormat="1" applyFont="1" applyFill="1" applyBorder="1" applyAlignment="1" applyProtection="1">
      <alignment horizontal="center"/>
      <protection/>
    </xf>
    <xf numFmtId="0" fontId="0" fillId="0" borderId="0" xfId="0" applyAlignment="1">
      <alignment wrapText="1"/>
    </xf>
    <xf numFmtId="0" fontId="10" fillId="0" borderId="0" xfId="0" applyFont="1" applyAlignment="1">
      <alignment wrapText="1"/>
    </xf>
    <xf numFmtId="0" fontId="1" fillId="0" borderId="1" xfId="0" applyFont="1" applyBorder="1" applyAlignment="1">
      <alignment horizontal="center" vertical="top" wrapText="1"/>
    </xf>
    <xf numFmtId="0" fontId="15" fillId="5" borderId="15" xfId="0" applyFont="1" applyFill="1" applyBorder="1" applyAlignment="1" applyProtection="1">
      <alignment horizontal="center" vertical="center"/>
      <protection/>
    </xf>
    <xf numFmtId="0" fontId="1" fillId="0" borderId="21" xfId="0" applyFont="1" applyBorder="1" applyAlignment="1">
      <alignment horizontal="center" vertical="top" wrapText="1"/>
    </xf>
    <xf numFmtId="0" fontId="0" fillId="0" borderId="22" xfId="0" applyBorder="1" applyAlignment="1">
      <alignment/>
    </xf>
    <xf numFmtId="0" fontId="0" fillId="0" borderId="5" xfId="0" applyBorder="1" applyAlignment="1">
      <alignment horizontal="center" wrapText="1"/>
    </xf>
    <xf numFmtId="0" fontId="0" fillId="0" borderId="5" xfId="0"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horizontal="center" vertical="top" wrapText="1"/>
    </xf>
    <xf numFmtId="0" fontId="17" fillId="3" borderId="9" xfId="0" applyFont="1" applyFill="1" applyBorder="1" applyAlignment="1" applyProtection="1">
      <alignment horizontal="left" vertical="center"/>
      <protection/>
    </xf>
    <xf numFmtId="3" fontId="0" fillId="0" borderId="1" xfId="0" applyNumberFormat="1" applyBorder="1" applyAlignment="1">
      <alignment horizontal="center" vertical="top" wrapText="1"/>
    </xf>
    <xf numFmtId="0" fontId="1" fillId="3" borderId="10" xfId="0" applyFont="1" applyFill="1" applyBorder="1" applyAlignment="1" applyProtection="1">
      <alignment horizontal="right"/>
      <protection locked="0"/>
    </xf>
    <xf numFmtId="0" fontId="0" fillId="6" borderId="0" xfId="0" applyFill="1" applyAlignment="1">
      <alignment/>
    </xf>
    <xf numFmtId="0" fontId="22" fillId="6" borderId="0" xfId="0" applyFont="1" applyFill="1" applyAlignment="1">
      <alignment vertical="top"/>
    </xf>
    <xf numFmtId="0" fontId="13" fillId="5" borderId="0" xfId="0" applyFont="1" applyFill="1" applyBorder="1" applyAlignment="1" applyProtection="1">
      <alignment vertical="center"/>
      <protection/>
    </xf>
    <xf numFmtId="0" fontId="17" fillId="3" borderId="8" xfId="0" applyFont="1" applyFill="1" applyBorder="1" applyAlignment="1" applyProtection="1">
      <alignment horizontal="left" vertical="center"/>
      <protection/>
    </xf>
    <xf numFmtId="0" fontId="17" fillId="5" borderId="0" xfId="0" applyFont="1" applyFill="1" applyBorder="1" applyAlignment="1" applyProtection="1">
      <alignment horizontal="left" vertical="center"/>
      <protection/>
    </xf>
    <xf numFmtId="0" fontId="1" fillId="4" borderId="24" xfId="0" applyFont="1" applyFill="1" applyBorder="1" applyAlignment="1" applyProtection="1">
      <alignment horizontal="center"/>
      <protection/>
    </xf>
    <xf numFmtId="0" fontId="1" fillId="4" borderId="25" xfId="0" applyFont="1" applyFill="1" applyBorder="1" applyAlignment="1" applyProtection="1">
      <alignment horizontal="center"/>
      <protection/>
    </xf>
    <xf numFmtId="0" fontId="1" fillId="4" borderId="12" xfId="0" applyFont="1" applyFill="1" applyBorder="1" applyAlignment="1" applyProtection="1">
      <alignment horizontal="center"/>
      <protection/>
    </xf>
    <xf numFmtId="0" fontId="0" fillId="6" borderId="0" xfId="0" applyFill="1" applyAlignment="1">
      <alignment horizontal="left" wrapText="1"/>
    </xf>
    <xf numFmtId="0" fontId="0" fillId="6" borderId="0" xfId="0" applyFill="1" applyAlignment="1">
      <alignment horizontal="left"/>
    </xf>
    <xf numFmtId="49" fontId="14" fillId="6" borderId="0" xfId="0" applyNumberFormat="1" applyFont="1" applyFill="1" applyAlignment="1">
      <alignment horizontal="right" vertical="top"/>
    </xf>
    <xf numFmtId="0" fontId="24" fillId="6" borderId="0" xfId="0" applyFont="1" applyFill="1" applyAlignment="1">
      <alignment/>
    </xf>
    <xf numFmtId="0" fontId="25" fillId="6" borderId="0" xfId="0" applyFont="1" applyFill="1" applyAlignment="1">
      <alignment horizontal="left" vertical="top" wrapText="1"/>
    </xf>
    <xf numFmtId="0" fontId="25" fillId="6" borderId="0" xfId="0" applyFont="1" applyFill="1" applyAlignment="1">
      <alignment horizontal="left"/>
    </xf>
    <xf numFmtId="0" fontId="0" fillId="3" borderId="0" xfId="0" applyFill="1" applyBorder="1" applyAlignment="1" applyProtection="1">
      <alignment/>
      <protection/>
    </xf>
    <xf numFmtId="0" fontId="5" fillId="3" borderId="0" xfId="0" applyFont="1" applyFill="1" applyBorder="1" applyAlignment="1" applyProtection="1">
      <alignment horizontal="right"/>
      <protection/>
    </xf>
    <xf numFmtId="0" fontId="8" fillId="5" borderId="11" xfId="0" applyFont="1" applyFill="1" applyBorder="1" applyAlignment="1" applyProtection="1">
      <alignment vertical="center"/>
      <protection/>
    </xf>
    <xf numFmtId="0" fontId="0" fillId="5" borderId="19" xfId="0" applyFill="1" applyBorder="1" applyAlignment="1">
      <alignment vertical="center"/>
    </xf>
    <xf numFmtId="0" fontId="8" fillId="5" borderId="14" xfId="0" applyFont="1" applyFill="1" applyBorder="1" applyAlignment="1" applyProtection="1">
      <alignment vertical="center"/>
      <protection/>
    </xf>
    <xf numFmtId="0" fontId="0" fillId="5" borderId="0" xfId="0" applyFill="1" applyBorder="1" applyAlignment="1">
      <alignment vertical="center"/>
    </xf>
    <xf numFmtId="0" fontId="0" fillId="5" borderId="14" xfId="0" applyFill="1" applyBorder="1" applyAlignment="1">
      <alignment vertical="center"/>
    </xf>
    <xf numFmtId="0" fontId="23" fillId="6" borderId="0" xfId="0" applyFont="1" applyFill="1" applyAlignment="1">
      <alignment/>
    </xf>
    <xf numFmtId="0" fontId="23" fillId="5" borderId="0" xfId="0" applyFont="1" applyFill="1" applyBorder="1" applyAlignment="1" applyProtection="1">
      <alignment vertical="center"/>
      <protection/>
    </xf>
    <xf numFmtId="0" fontId="27" fillId="6" borderId="0" xfId="0" applyFont="1" applyFill="1" applyAlignment="1">
      <alignment horizontal="left"/>
    </xf>
    <xf numFmtId="0" fontId="13" fillId="5" borderId="14" xfId="0" applyFont="1" applyFill="1" applyBorder="1" applyAlignment="1" applyProtection="1">
      <alignment horizontal="left" vertical="center"/>
      <protection/>
    </xf>
    <xf numFmtId="1" fontId="0" fillId="3" borderId="10" xfId="0" applyNumberFormat="1" applyFill="1" applyBorder="1" applyAlignment="1" applyProtection="1">
      <alignment horizontal="center"/>
      <protection locked="0"/>
    </xf>
    <xf numFmtId="0" fontId="0" fillId="3" borderId="9" xfId="0" applyFill="1" applyBorder="1" applyAlignment="1" applyProtection="1">
      <alignment/>
      <protection locked="0"/>
    </xf>
    <xf numFmtId="1" fontId="11" fillId="3" borderId="9" xfId="0" applyNumberFormat="1" applyFont="1" applyFill="1" applyBorder="1" applyAlignment="1" applyProtection="1">
      <alignment horizontal="center"/>
      <protection/>
    </xf>
    <xf numFmtId="0" fontId="3" fillId="0" borderId="1" xfId="0" applyFont="1" applyBorder="1" applyAlignment="1">
      <alignment horizontal="left" wrapText="1"/>
    </xf>
    <xf numFmtId="0" fontId="1" fillId="0" borderId="1" xfId="0" applyFont="1" applyBorder="1" applyAlignment="1">
      <alignment horizontal="left" wrapText="1"/>
    </xf>
    <xf numFmtId="0" fontId="15" fillId="3" borderId="10" xfId="0" applyFont="1" applyFill="1" applyBorder="1" applyAlignment="1" applyProtection="1">
      <alignment horizontal="right" vertical="center"/>
      <protection locked="0"/>
    </xf>
    <xf numFmtId="0" fontId="0" fillId="3" borderId="7" xfId="0" applyFont="1" applyFill="1" applyBorder="1" applyAlignment="1" applyProtection="1">
      <alignment horizontal="right" vertical="center"/>
      <protection locked="0"/>
    </xf>
    <xf numFmtId="0" fontId="1" fillId="3" borderId="8" xfId="0" applyFont="1" applyFill="1" applyBorder="1" applyAlignment="1">
      <alignment horizontal="right"/>
    </xf>
    <xf numFmtId="0" fontId="0" fillId="3" borderId="10" xfId="0" applyFont="1" applyFill="1" applyBorder="1" applyAlignment="1" applyProtection="1">
      <alignment horizontal="right" vertical="center"/>
      <protection locked="0"/>
    </xf>
    <xf numFmtId="0" fontId="0" fillId="5" borderId="8" xfId="0" applyFont="1" applyFill="1" applyBorder="1" applyAlignment="1" applyProtection="1">
      <alignment horizontal="right" vertical="center"/>
      <protection/>
    </xf>
    <xf numFmtId="0" fontId="15" fillId="3" borderId="8" xfId="0" applyFont="1" applyFill="1" applyBorder="1" applyAlignment="1" applyProtection="1">
      <alignment horizontal="right" vertical="center"/>
      <protection locked="0"/>
    </xf>
    <xf numFmtId="0" fontId="7" fillId="3" borderId="10" xfId="0" applyFont="1" applyFill="1" applyBorder="1" applyAlignment="1" applyProtection="1">
      <alignment horizontal="center" vertical="center"/>
      <protection/>
    </xf>
    <xf numFmtId="1" fontId="7" fillId="3" borderId="10" xfId="0" applyNumberFormat="1" applyFont="1" applyFill="1" applyBorder="1" applyAlignment="1" applyProtection="1">
      <alignment horizontal="center" vertical="center"/>
      <protection/>
    </xf>
    <xf numFmtId="0" fontId="1" fillId="3" borderId="7" xfId="0" applyFont="1" applyFill="1" applyBorder="1" applyAlignment="1" applyProtection="1">
      <alignment/>
      <protection/>
    </xf>
    <xf numFmtId="0" fontId="13" fillId="3" borderId="7" xfId="0" applyFont="1" applyFill="1" applyBorder="1" applyAlignment="1" applyProtection="1">
      <alignment/>
      <protection/>
    </xf>
    <xf numFmtId="0" fontId="13" fillId="3" borderId="7" xfId="0" applyFont="1" applyFill="1" applyBorder="1" applyAlignment="1" applyProtection="1">
      <alignment/>
      <protection/>
    </xf>
    <xf numFmtId="0" fontId="0" fillId="3" borderId="8" xfId="0" applyFill="1" applyBorder="1" applyAlignment="1" applyProtection="1">
      <alignment/>
      <protection locked="0"/>
    </xf>
    <xf numFmtId="0" fontId="1" fillId="3" borderId="8" xfId="0" applyFont="1" applyFill="1" applyBorder="1" applyAlignment="1">
      <alignment/>
    </xf>
    <xf numFmtId="0" fontId="13" fillId="3" borderId="8" xfId="0" applyFont="1" applyFill="1" applyBorder="1" applyAlignment="1" applyProtection="1">
      <alignment horizontal="center"/>
      <protection/>
    </xf>
    <xf numFmtId="0" fontId="11" fillId="3" borderId="8" xfId="0" applyFont="1" applyFill="1" applyBorder="1" applyAlignment="1" applyProtection="1">
      <alignment horizontal="center"/>
      <protection/>
    </xf>
    <xf numFmtId="0" fontId="1" fillId="3" borderId="8" xfId="0" applyFont="1" applyFill="1" applyBorder="1" applyAlignment="1" applyProtection="1">
      <alignment horizontal="center"/>
      <protection/>
    </xf>
    <xf numFmtId="0" fontId="1" fillId="3" borderId="9" xfId="0" applyFont="1" applyFill="1" applyBorder="1" applyAlignment="1" applyProtection="1">
      <alignment horizontal="center"/>
      <protection/>
    </xf>
    <xf numFmtId="0" fontId="0" fillId="0" borderId="0" xfId="0" applyAlignment="1" quotePrefix="1">
      <alignment/>
    </xf>
    <xf numFmtId="0" fontId="28" fillId="0" borderId="0" xfId="20" applyFont="1" applyAlignment="1" applyProtection="1">
      <alignment/>
      <protection/>
    </xf>
    <xf numFmtId="0" fontId="25" fillId="0" borderId="0" xfId="0" applyFont="1" applyBorder="1" applyAlignment="1" applyProtection="1">
      <alignment horizontal="center"/>
      <protection/>
    </xf>
    <xf numFmtId="49" fontId="14" fillId="0" borderId="0" xfId="0" applyNumberFormat="1" applyFont="1" applyFill="1" applyAlignment="1">
      <alignment horizontal="right" vertical="top"/>
    </xf>
    <xf numFmtId="0" fontId="25" fillId="0" borderId="0" xfId="0" applyFont="1" applyFill="1" applyAlignment="1">
      <alignment horizontal="left" vertical="top" wrapText="1"/>
    </xf>
    <xf numFmtId="0" fontId="0" fillId="0" borderId="0" xfId="0" applyFill="1" applyAlignment="1">
      <alignment/>
    </xf>
    <xf numFmtId="0" fontId="24" fillId="6" borderId="0" xfId="0" applyFont="1" applyFill="1" applyAlignment="1">
      <alignment horizontal="left" vertical="top" wrapText="1"/>
    </xf>
    <xf numFmtId="0" fontId="0" fillId="0" borderId="2" xfId="0" applyBorder="1" applyAlignment="1" applyProtection="1">
      <alignment horizontal="center"/>
      <protection/>
    </xf>
    <xf numFmtId="0" fontId="0" fillId="0" borderId="26" xfId="0" applyBorder="1" applyAlignment="1" applyProtection="1">
      <alignment horizontal="center"/>
      <protection/>
    </xf>
    <xf numFmtId="0" fontId="0" fillId="7" borderId="3" xfId="0" applyFill="1" applyBorder="1" applyAlignment="1">
      <alignment horizontal="center"/>
    </xf>
    <xf numFmtId="0" fontId="25" fillId="0" borderId="0" xfId="0" applyFont="1" applyFill="1" applyAlignment="1">
      <alignment horizontal="left" vertical="top" wrapText="1"/>
    </xf>
    <xf numFmtId="0" fontId="26" fillId="6" borderId="0" xfId="0" applyFont="1" applyFill="1" applyAlignment="1">
      <alignment horizontal="left" vertical="top" wrapText="1"/>
    </xf>
    <xf numFmtId="0" fontId="1" fillId="3" borderId="7" xfId="0" applyFont="1" applyFill="1" applyBorder="1" applyAlignment="1" applyProtection="1">
      <alignment horizontal="right"/>
      <protection/>
    </xf>
    <xf numFmtId="0" fontId="0" fillId="3" borderId="9" xfId="0" applyFill="1" applyBorder="1" applyAlignment="1">
      <alignment/>
    </xf>
    <xf numFmtId="0" fontId="7" fillId="3" borderId="7" xfId="0" applyFont="1" applyFill="1" applyBorder="1" applyAlignment="1" applyProtection="1">
      <alignment horizontal="center" vertical="center"/>
      <protection/>
    </xf>
    <xf numFmtId="0" fontId="7" fillId="3" borderId="8" xfId="0" applyFont="1" applyFill="1" applyBorder="1" applyAlignment="1">
      <alignment horizontal="center" vertical="center"/>
    </xf>
    <xf numFmtId="0" fontId="0" fillId="3" borderId="7" xfId="0" applyFont="1" applyFill="1" applyBorder="1" applyAlignment="1" applyProtection="1">
      <alignment horizontal="center" vertical="center"/>
      <protection/>
    </xf>
    <xf numFmtId="0" fontId="0" fillId="3" borderId="8" xfId="0" applyFill="1" applyBorder="1" applyAlignment="1">
      <alignment horizontal="center" vertical="center"/>
    </xf>
    <xf numFmtId="1" fontId="7" fillId="3" borderId="10" xfId="0" applyNumberFormat="1" applyFont="1" applyFill="1" applyBorder="1" applyAlignment="1" applyProtection="1">
      <alignment horizontal="center" vertical="center"/>
      <protection/>
    </xf>
    <xf numFmtId="0" fontId="0" fillId="3" borderId="10" xfId="0" applyFont="1" applyFill="1" applyBorder="1" applyAlignment="1">
      <alignment horizontal="center" vertical="center"/>
    </xf>
    <xf numFmtId="0" fontId="1" fillId="3" borderId="7" xfId="0" applyFont="1" applyFill="1" applyBorder="1" applyAlignment="1" applyProtection="1">
      <alignment horizontal="right" vertical="center"/>
      <protection/>
    </xf>
    <xf numFmtId="0" fontId="1" fillId="3" borderId="7" xfId="0" applyFont="1" applyFill="1" applyBorder="1" applyAlignment="1" applyProtection="1">
      <alignment horizontal="center"/>
      <protection/>
    </xf>
    <xf numFmtId="0" fontId="0" fillId="3" borderId="9" xfId="0" applyFont="1" applyFill="1" applyBorder="1" applyAlignment="1">
      <alignment horizontal="center"/>
    </xf>
    <xf numFmtId="0" fontId="1" fillId="3" borderId="7" xfId="0" applyFont="1" applyFill="1" applyBorder="1" applyAlignment="1" applyProtection="1">
      <alignment horizontal="right"/>
      <protection/>
    </xf>
    <xf numFmtId="0" fontId="1" fillId="3" borderId="9" xfId="0" applyFont="1" applyFill="1" applyBorder="1" applyAlignment="1" applyProtection="1">
      <alignment horizontal="right"/>
      <protection/>
    </xf>
    <xf numFmtId="1" fontId="7" fillId="3" borderId="7" xfId="0" applyNumberFormat="1" applyFont="1" applyFill="1" applyBorder="1" applyAlignment="1" applyProtection="1">
      <alignment horizontal="center" vertical="center"/>
      <protection/>
    </xf>
    <xf numFmtId="1" fontId="7" fillId="3" borderId="9" xfId="0" applyNumberFormat="1" applyFont="1" applyFill="1" applyBorder="1" applyAlignment="1" applyProtection="1">
      <alignment horizontal="center" vertical="center"/>
      <protection/>
    </xf>
    <xf numFmtId="1" fontId="11" fillId="3" borderId="7" xfId="0" applyNumberFormat="1" applyFont="1" applyFill="1" applyBorder="1" applyAlignment="1" applyProtection="1">
      <alignment horizontal="center"/>
      <protection/>
    </xf>
    <xf numFmtId="1" fontId="11" fillId="3" borderId="9" xfId="0" applyNumberFormat="1" applyFont="1" applyFill="1" applyBorder="1" applyAlignment="1" applyProtection="1">
      <alignment horizontal="center"/>
      <protection/>
    </xf>
    <xf numFmtId="0" fontId="7" fillId="3" borderId="7" xfId="0" applyFont="1" applyFill="1" applyBorder="1" applyAlignment="1" applyProtection="1">
      <alignment horizontal="center" vertical="center" wrapText="1"/>
      <protection/>
    </xf>
    <xf numFmtId="0" fontId="0" fillId="3" borderId="9" xfId="0" applyFill="1" applyBorder="1" applyAlignment="1">
      <alignment horizontal="center" vertical="center" wrapText="1"/>
    </xf>
    <xf numFmtId="0" fontId="1" fillId="3" borderId="7" xfId="0" applyFont="1" applyFill="1" applyBorder="1" applyAlignment="1">
      <alignment horizontal="right"/>
    </xf>
    <xf numFmtId="0" fontId="1" fillId="3" borderId="9" xfId="0" applyFont="1" applyFill="1" applyBorder="1" applyAlignment="1">
      <alignment horizontal="right"/>
    </xf>
    <xf numFmtId="0" fontId="25" fillId="6" borderId="0" xfId="0" applyFont="1" applyFill="1" applyAlignment="1">
      <alignment horizontal="left" wrapText="1"/>
    </xf>
    <xf numFmtId="0" fontId="25" fillId="6" borderId="0" xfId="0" applyFont="1" applyFill="1" applyAlignment="1">
      <alignment horizontal="left" vertical="top" wrapText="1"/>
    </xf>
    <xf numFmtId="0" fontId="25" fillId="0" borderId="0" xfId="0" applyFont="1" applyFill="1" applyAlignment="1">
      <alignment horizontal="left" vertical="top" wrapText="1"/>
    </xf>
    <xf numFmtId="0" fontId="28" fillId="0" borderId="0" xfId="20" applyFont="1" applyFill="1" applyAlignment="1">
      <alignment horizontal="left" vertical="top" wrapText="1"/>
    </xf>
    <xf numFmtId="0" fontId="0" fillId="0" borderId="1" xfId="0" applyBorder="1" applyAlignment="1">
      <alignment horizontal="left" wrapText="1"/>
    </xf>
    <xf numFmtId="0" fontId="0" fillId="0" borderId="2" xfId="0" applyBorder="1" applyAlignment="1">
      <alignment horizontal="center"/>
    </xf>
    <xf numFmtId="0" fontId="0" fillId="0" borderId="26" xfId="0" applyBorder="1" applyAlignment="1">
      <alignment horizontal="center"/>
    </xf>
    <xf numFmtId="0" fontId="0" fillId="7" borderId="2" xfId="0" applyFill="1" applyBorder="1" applyAlignment="1">
      <alignment horizontal="center"/>
    </xf>
    <xf numFmtId="0" fontId="0" fillId="7" borderId="27" xfId="0" applyFill="1" applyBorder="1" applyAlignment="1">
      <alignment horizontal="center"/>
    </xf>
    <xf numFmtId="0" fontId="0" fillId="7" borderId="26" xfId="0" applyFill="1" applyBorder="1" applyAlignment="1">
      <alignment horizontal="center"/>
    </xf>
    <xf numFmtId="0" fontId="0" fillId="8" borderId="1" xfId="0" applyFill="1" applyBorder="1" applyAlignment="1">
      <alignment horizontal="center"/>
    </xf>
    <xf numFmtId="0" fontId="0" fillId="8" borderId="2" xfId="0" applyFill="1" applyBorder="1" applyAlignment="1">
      <alignment horizontal="center"/>
    </xf>
    <xf numFmtId="0" fontId="0" fillId="8" borderId="27" xfId="0" applyFill="1" applyBorder="1" applyAlignment="1">
      <alignment horizontal="center"/>
    </xf>
    <xf numFmtId="0" fontId="0" fillId="8" borderId="26" xfId="0" applyFill="1" applyBorder="1" applyAlignment="1">
      <alignment horizontal="center"/>
    </xf>
    <xf numFmtId="0" fontId="0" fillId="9" borderId="2" xfId="0" applyFill="1" applyBorder="1" applyAlignment="1">
      <alignment horizontal="center"/>
    </xf>
    <xf numFmtId="0" fontId="0" fillId="9" borderId="27" xfId="0" applyFill="1" applyBorder="1" applyAlignment="1">
      <alignment horizontal="center"/>
    </xf>
    <xf numFmtId="0" fontId="0" fillId="9" borderId="26" xfId="0" applyFill="1" applyBorder="1" applyAlignment="1">
      <alignment horizontal="center"/>
    </xf>
    <xf numFmtId="0" fontId="0" fillId="10" borderId="1" xfId="0" applyFont="1" applyFill="1" applyBorder="1" applyAlignment="1">
      <alignment horizontal="center"/>
    </xf>
    <xf numFmtId="0" fontId="0" fillId="10" borderId="1" xfId="0" applyFont="1" applyFill="1" applyBorder="1" applyAlignment="1">
      <alignment/>
    </xf>
    <xf numFmtId="0" fontId="0" fillId="4" borderId="1" xfId="0" applyFill="1" applyBorder="1" applyAlignment="1">
      <alignment horizontal="center"/>
    </xf>
    <xf numFmtId="0" fontId="0" fillId="4" borderId="3" xfId="0" applyFill="1" applyBorder="1" applyAlignment="1">
      <alignment horizontal="center"/>
    </xf>
    <xf numFmtId="0" fontId="0" fillId="4" borderId="21" xfId="0" applyFill="1" applyBorder="1" applyAlignment="1">
      <alignment horizontal="center"/>
    </xf>
    <xf numFmtId="0" fontId="0" fillId="4" borderId="28" xfId="0" applyFill="1" applyBorder="1" applyAlignment="1">
      <alignment horizontal="center"/>
    </xf>
    <xf numFmtId="0" fontId="14" fillId="3" borderId="2" xfId="0" applyFont="1" applyFill="1" applyBorder="1" applyAlignment="1">
      <alignment horizontal="center"/>
    </xf>
    <xf numFmtId="0" fontId="14" fillId="3" borderId="27" xfId="0" applyFont="1" applyFill="1" applyBorder="1" applyAlignment="1">
      <alignment horizontal="center"/>
    </xf>
    <xf numFmtId="0" fontId="14" fillId="3" borderId="26" xfId="0" applyFont="1" applyFill="1" applyBorder="1" applyAlignment="1">
      <alignment horizontal="center"/>
    </xf>
    <xf numFmtId="0" fontId="10" fillId="0" borderId="0" xfId="0" applyFont="1" applyAlignment="1">
      <alignment wrapText="1"/>
    </xf>
    <xf numFmtId="0" fontId="1" fillId="0" borderId="21" xfId="0" applyFont="1" applyBorder="1" applyAlignment="1">
      <alignment horizontal="center" vertical="top" wrapText="1"/>
    </xf>
    <xf numFmtId="0" fontId="1" fillId="0" borderId="28" xfId="0" applyFont="1" applyBorder="1" applyAlignment="1">
      <alignment horizontal="center" vertical="top"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ere.com/servlet/com.deere.u90785.productcatalog.view.servlets.PublicationsSearchServlet?tM=FR"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BT577"/>
  <sheetViews>
    <sheetView showGridLines="0" tabSelected="1" zoomScale="85" zoomScaleNormal="85" workbookViewId="0" topLeftCell="A4">
      <selection activeCell="B14" sqref="B14:J14"/>
    </sheetView>
  </sheetViews>
  <sheetFormatPr defaultColWidth="9.140625" defaultRowHeight="12.75"/>
  <cols>
    <col min="1" max="1" width="5.00390625" style="2" customWidth="1"/>
    <col min="2" max="2" width="20.00390625" style="2" customWidth="1"/>
    <col min="3" max="3" width="15.140625" style="2" customWidth="1"/>
    <col min="4" max="4" width="19.00390625" style="2" customWidth="1"/>
    <col min="5" max="5" width="8.421875" style="2" customWidth="1"/>
    <col min="6" max="6" width="6.57421875" style="2" customWidth="1"/>
    <col min="7" max="9" width="12.00390625" style="2" customWidth="1"/>
    <col min="10" max="10" width="10.00390625" style="2" bestFit="1" customWidth="1"/>
    <col min="11" max="11" width="9.8515625" style="2" customWidth="1"/>
    <col min="12" max="12" width="32.8515625" style="2" customWidth="1"/>
    <col min="13" max="13" width="9.28125" style="2" customWidth="1"/>
    <col min="14" max="14" width="14.28125" style="2" customWidth="1"/>
    <col min="15" max="15" width="12.57421875" style="2" customWidth="1"/>
    <col min="16" max="16" width="24.421875" style="2" bestFit="1" customWidth="1"/>
    <col min="17" max="17" width="2.140625" style="2" customWidth="1"/>
    <col min="18" max="18" width="9.57421875" style="2" bestFit="1" customWidth="1"/>
    <col min="19" max="20" width="9.140625" style="2" customWidth="1"/>
    <col min="21" max="22" width="7.140625" style="2" customWidth="1"/>
    <col min="23" max="24" width="6.421875" style="2" customWidth="1"/>
    <col min="25" max="25" width="4.7109375" style="2" customWidth="1"/>
    <col min="26" max="26" width="9.140625" style="2" customWidth="1"/>
    <col min="27" max="27" width="11.421875" style="2" customWidth="1"/>
    <col min="28" max="28" width="7.7109375" style="3" customWidth="1"/>
    <col min="29" max="32" width="7.140625" style="3" customWidth="1"/>
    <col min="33" max="34" width="9.140625" style="3" customWidth="1"/>
    <col min="35" max="35" width="12.140625" style="2" customWidth="1"/>
    <col min="36" max="36" width="9.140625" style="2" customWidth="1"/>
    <col min="37" max="38" width="7.140625" style="2" customWidth="1"/>
    <col min="39" max="39" width="7.140625" style="18" customWidth="1"/>
    <col min="40" max="53" width="9.140625" style="2" customWidth="1"/>
    <col min="54" max="54" width="7.00390625" style="3" customWidth="1"/>
    <col min="55" max="16384" width="9.140625" style="2" customWidth="1"/>
  </cols>
  <sheetData>
    <row r="1" spans="3:10" s="165" customFormat="1" ht="36.75" customHeight="1">
      <c r="C1" s="186"/>
      <c r="D1" s="186" t="s">
        <v>149</v>
      </c>
      <c r="E1" s="186"/>
      <c r="F1" s="186"/>
      <c r="G1" s="186"/>
      <c r="H1" s="186"/>
      <c r="I1" s="186"/>
      <c r="J1" s="186"/>
    </row>
    <row r="2" s="165" customFormat="1" ht="12.75"/>
    <row r="3" spans="2:10" s="165" customFormat="1" ht="53.25" customHeight="1">
      <c r="B3" s="245" t="s">
        <v>127</v>
      </c>
      <c r="C3" s="245"/>
      <c r="D3" s="245"/>
      <c r="E3" s="245"/>
      <c r="F3" s="245"/>
      <c r="G3" s="245"/>
      <c r="H3" s="245"/>
      <c r="I3" s="245"/>
      <c r="J3" s="245"/>
    </row>
    <row r="4" spans="2:10" s="165" customFormat="1" ht="18.75" customHeight="1">
      <c r="B4" s="173"/>
      <c r="C4" s="174"/>
      <c r="D4" s="174"/>
      <c r="E4" s="174"/>
      <c r="F4" s="174"/>
      <c r="G4" s="174"/>
      <c r="H4" s="174"/>
      <c r="I4" s="174"/>
      <c r="J4" s="174"/>
    </row>
    <row r="5" spans="2:10" s="165" customFormat="1" ht="23.25" customHeight="1">
      <c r="B5" s="166" t="s">
        <v>128</v>
      </c>
      <c r="C5" s="174"/>
      <c r="D5" s="174"/>
      <c r="E5" s="174"/>
      <c r="F5" s="174"/>
      <c r="G5" s="174"/>
      <c r="H5" s="174"/>
      <c r="I5" s="174"/>
      <c r="J5" s="174"/>
    </row>
    <row r="6" spans="1:10" s="165" customFormat="1" ht="15.75">
      <c r="A6" s="175" t="s">
        <v>129</v>
      </c>
      <c r="B6" s="246" t="s">
        <v>130</v>
      </c>
      <c r="C6" s="246"/>
      <c r="D6" s="246"/>
      <c r="E6" s="246"/>
      <c r="F6" s="246"/>
      <c r="G6" s="246"/>
      <c r="H6" s="246"/>
      <c r="I6" s="246"/>
      <c r="J6" s="246"/>
    </row>
    <row r="7" spans="1:10" s="165" customFormat="1" ht="26.25" customHeight="1">
      <c r="A7" s="175"/>
      <c r="B7" s="246" t="s">
        <v>151</v>
      </c>
      <c r="C7" s="246"/>
      <c r="D7" s="246"/>
      <c r="E7" s="246"/>
      <c r="F7" s="246"/>
      <c r="G7" s="246"/>
      <c r="H7" s="246"/>
      <c r="I7" s="246"/>
      <c r="J7" s="246"/>
    </row>
    <row r="8" spans="1:10" s="165" customFormat="1" ht="15.75">
      <c r="A8" s="175" t="s">
        <v>131</v>
      </c>
      <c r="B8" s="246" t="s">
        <v>148</v>
      </c>
      <c r="C8" s="246"/>
      <c r="D8" s="246"/>
      <c r="E8" s="246"/>
      <c r="F8" s="246"/>
      <c r="G8" s="246"/>
      <c r="H8" s="246"/>
      <c r="I8" s="246"/>
      <c r="J8" s="246"/>
    </row>
    <row r="9" spans="1:10" s="165" customFormat="1" ht="15.75">
      <c r="A9" s="175"/>
      <c r="B9" s="246" t="s">
        <v>132</v>
      </c>
      <c r="C9" s="246"/>
      <c r="D9" s="246"/>
      <c r="E9" s="246"/>
      <c r="F9" s="246"/>
      <c r="G9" s="246"/>
      <c r="H9" s="246"/>
      <c r="I9" s="246"/>
      <c r="J9" s="246"/>
    </row>
    <row r="10" spans="1:11" s="217" customFormat="1" ht="33" customHeight="1">
      <c r="A10" s="215"/>
      <c r="B10" s="247" t="s">
        <v>162</v>
      </c>
      <c r="C10" s="247"/>
      <c r="D10" s="247"/>
      <c r="E10" s="247"/>
      <c r="F10" s="247"/>
      <c r="G10" s="247"/>
      <c r="H10" s="247"/>
      <c r="I10" s="247"/>
      <c r="J10" s="247"/>
      <c r="K10" s="247"/>
    </row>
    <row r="11" spans="1:11" s="217" customFormat="1" ht="15.75">
      <c r="A11" s="215"/>
      <c r="B11" s="247" t="s">
        <v>161</v>
      </c>
      <c r="C11" s="247"/>
      <c r="D11" s="247"/>
      <c r="E11" s="247"/>
      <c r="F11" s="247"/>
      <c r="G11" s="247"/>
      <c r="H11" s="247"/>
      <c r="I11" s="247"/>
      <c r="J11" s="216"/>
      <c r="K11" s="216"/>
    </row>
    <row r="12" spans="1:11" s="217" customFormat="1" ht="15.75">
      <c r="A12" s="215"/>
      <c r="B12" s="248" t="s">
        <v>160</v>
      </c>
      <c r="C12" s="222"/>
      <c r="D12" s="222"/>
      <c r="E12" s="222"/>
      <c r="F12" s="222"/>
      <c r="G12" s="222"/>
      <c r="H12" s="222"/>
      <c r="I12" s="222"/>
      <c r="J12" s="216"/>
      <c r="K12" s="216"/>
    </row>
    <row r="13" spans="1:10" s="165" customFormat="1" ht="40.5" customHeight="1">
      <c r="A13" s="175" t="s">
        <v>133</v>
      </c>
      <c r="B13" s="246" t="s">
        <v>152</v>
      </c>
      <c r="C13" s="246"/>
      <c r="D13" s="246"/>
      <c r="E13" s="246"/>
      <c r="F13" s="246"/>
      <c r="G13" s="246"/>
      <c r="H13" s="246"/>
      <c r="I13" s="246"/>
      <c r="J13" s="246"/>
    </row>
    <row r="14" spans="1:10" s="165" customFormat="1" ht="30" customHeight="1">
      <c r="A14" s="175" t="s">
        <v>134</v>
      </c>
      <c r="B14" s="246" t="s">
        <v>153</v>
      </c>
      <c r="C14" s="246"/>
      <c r="D14" s="246"/>
      <c r="E14" s="246"/>
      <c r="F14" s="246"/>
      <c r="G14" s="246"/>
      <c r="H14" s="246"/>
      <c r="I14" s="246"/>
      <c r="J14" s="246"/>
    </row>
    <row r="15" spans="1:10" s="165" customFormat="1" ht="9" customHeight="1">
      <c r="A15" s="175"/>
      <c r="B15" s="177"/>
      <c r="C15" s="178"/>
      <c r="D15" s="178"/>
      <c r="E15" s="178"/>
      <c r="F15" s="178"/>
      <c r="G15" s="178"/>
      <c r="H15" s="178"/>
      <c r="I15" s="178"/>
      <c r="J15" s="178"/>
    </row>
    <row r="16" spans="1:10" s="165" customFormat="1" ht="15.75">
      <c r="A16" s="175" t="s">
        <v>135</v>
      </c>
      <c r="B16" s="223" t="s">
        <v>154</v>
      </c>
      <c r="C16" s="246"/>
      <c r="D16" s="246"/>
      <c r="E16" s="246"/>
      <c r="F16" s="246"/>
      <c r="G16" s="246"/>
      <c r="H16" s="246"/>
      <c r="I16" s="246"/>
      <c r="J16" s="246"/>
    </row>
    <row r="17" spans="1:10" s="165" customFormat="1" ht="15.75" customHeight="1">
      <c r="A17" s="175"/>
      <c r="B17" s="177"/>
      <c r="C17" s="178"/>
      <c r="D17" s="178"/>
      <c r="E17" s="178"/>
      <c r="F17" s="178"/>
      <c r="G17" s="178"/>
      <c r="H17" s="178"/>
      <c r="I17" s="178"/>
      <c r="J17" s="178"/>
    </row>
    <row r="18" spans="1:10" s="165" customFormat="1" ht="47.25" customHeight="1">
      <c r="A18" s="175" t="s">
        <v>136</v>
      </c>
      <c r="B18" s="246" t="s">
        <v>158</v>
      </c>
      <c r="C18" s="246"/>
      <c r="D18" s="246"/>
      <c r="E18" s="246"/>
      <c r="F18" s="246"/>
      <c r="G18" s="246"/>
      <c r="H18" s="246"/>
      <c r="I18" s="246"/>
      <c r="J18" s="246"/>
    </row>
    <row r="19" spans="1:10" s="165" customFormat="1" ht="15">
      <c r="A19" s="176"/>
      <c r="B19" s="177"/>
      <c r="C19" s="178"/>
      <c r="D19" s="178"/>
      <c r="E19" s="178"/>
      <c r="F19" s="178"/>
      <c r="G19" s="178"/>
      <c r="H19" s="178"/>
      <c r="I19" s="178"/>
      <c r="J19" s="178"/>
    </row>
    <row r="20" spans="1:10" s="165" customFormat="1" ht="30" customHeight="1">
      <c r="A20" s="176"/>
      <c r="B20" s="218" t="s">
        <v>159</v>
      </c>
      <c r="C20" s="246"/>
      <c r="D20" s="246"/>
      <c r="E20" s="246"/>
      <c r="F20" s="246"/>
      <c r="G20" s="246"/>
      <c r="H20" s="246"/>
      <c r="I20" s="246"/>
      <c r="J20" s="246"/>
    </row>
    <row r="21" spans="1:10" s="165" customFormat="1" ht="30" customHeight="1">
      <c r="A21" s="176"/>
      <c r="B21" s="188" t="s">
        <v>150</v>
      </c>
      <c r="C21" s="177"/>
      <c r="D21" s="177"/>
      <c r="E21" s="177"/>
      <c r="F21" s="177"/>
      <c r="G21" s="177"/>
      <c r="H21" s="177"/>
      <c r="I21" s="177"/>
      <c r="J21" s="177"/>
    </row>
    <row r="22" spans="2:5" ht="15.75" customHeight="1" thickBot="1">
      <c r="B22" s="214"/>
      <c r="C22" s="214"/>
      <c r="D22" s="214"/>
      <c r="E22" s="213"/>
    </row>
    <row r="23" spans="1:14" ht="12.75" customHeight="1">
      <c r="A23" s="181"/>
      <c r="B23" s="182"/>
      <c r="C23" s="182"/>
      <c r="D23" s="182"/>
      <c r="E23" s="182"/>
      <c r="F23" s="182"/>
      <c r="G23" s="182"/>
      <c r="H23" s="182"/>
      <c r="I23" s="182"/>
      <c r="J23" s="182"/>
      <c r="K23" s="182"/>
      <c r="L23" s="182"/>
      <c r="M23" s="134"/>
      <c r="N23" s="147"/>
    </row>
    <row r="24" spans="1:14" ht="21.75" customHeight="1">
      <c r="A24" s="183"/>
      <c r="B24" s="184"/>
      <c r="C24" s="184"/>
      <c r="D24" s="187" t="s">
        <v>94</v>
      </c>
      <c r="E24" s="184"/>
      <c r="F24" s="184"/>
      <c r="G24" s="184"/>
      <c r="H24" s="184"/>
      <c r="I24" s="184"/>
      <c r="J24" s="184"/>
      <c r="K24" s="184"/>
      <c r="L24" s="184"/>
      <c r="M24" s="144"/>
      <c r="N24" s="109"/>
    </row>
    <row r="25" spans="1:14" ht="7.5" customHeight="1" thickBot="1">
      <c r="A25" s="185"/>
      <c r="B25" s="184"/>
      <c r="C25" s="184"/>
      <c r="D25" s="184"/>
      <c r="E25" s="184"/>
      <c r="F25" s="184"/>
      <c r="G25" s="184"/>
      <c r="H25" s="184"/>
      <c r="I25" s="184"/>
      <c r="J25" s="184"/>
      <c r="K25" s="184"/>
      <c r="L25" s="184"/>
      <c r="M25" s="144"/>
      <c r="N25" s="109"/>
    </row>
    <row r="26" spans="1:54" ht="18" customHeight="1" thickBot="1">
      <c r="A26" s="103"/>
      <c r="B26" s="104"/>
      <c r="C26" s="105"/>
      <c r="D26" s="106"/>
      <c r="E26" s="107"/>
      <c r="F26" s="107"/>
      <c r="G26" s="106"/>
      <c r="H26" s="106"/>
      <c r="I26" s="108"/>
      <c r="J26" s="100" t="s">
        <v>3</v>
      </c>
      <c r="K26" s="100" t="s">
        <v>2</v>
      </c>
      <c r="L26" s="144"/>
      <c r="M26" s="144"/>
      <c r="N26" s="109"/>
      <c r="Z26" s="3"/>
      <c r="AA26" s="3"/>
      <c r="AG26" s="2"/>
      <c r="AH26" s="2"/>
      <c r="AK26" s="18"/>
      <c r="AM26" s="2"/>
      <c r="AZ26" s="3"/>
      <c r="BB26" s="2"/>
    </row>
    <row r="27" spans="1:54" ht="15" customHeight="1" thickBot="1">
      <c r="A27" s="103"/>
      <c r="B27" s="224" t="s">
        <v>15</v>
      </c>
      <c r="C27" s="225"/>
      <c r="D27" s="195">
        <v>3</v>
      </c>
      <c r="E27" s="70" t="str">
        <f>IF(D27=1,"180",IF(D27=2,"200",IF(D27=3,"225",IF(D27=4,"250",IF(D27=5,"275","BAD")))))</f>
        <v>225</v>
      </c>
      <c r="F27" s="71" t="str">
        <f>IF(E27="275","Hp",IF(E27="250","Hp",IF(E27="225","Hp",IF(E27="200","Hp",IF(E27="180","Hp","")))))</f>
        <v>Hp</v>
      </c>
      <c r="G27" s="72"/>
      <c r="H27" s="72"/>
      <c r="I27" s="73"/>
      <c r="J27" s="74">
        <v>7061</v>
      </c>
      <c r="K27" s="74">
        <v>12742</v>
      </c>
      <c r="L27" s="144"/>
      <c r="M27" s="144"/>
      <c r="N27" s="109"/>
      <c r="Z27" s="3"/>
      <c r="AA27" s="3"/>
      <c r="AG27" s="2"/>
      <c r="AH27" s="2"/>
      <c r="AK27" s="18"/>
      <c r="AM27" s="2"/>
      <c r="AZ27" s="3"/>
      <c r="BB27" s="2"/>
    </row>
    <row r="28" spans="1:54" ht="15" customHeight="1" thickBot="1">
      <c r="A28" s="103"/>
      <c r="B28" s="224" t="s">
        <v>32</v>
      </c>
      <c r="C28" s="225"/>
      <c r="D28" s="195">
        <v>2</v>
      </c>
      <c r="E28" s="228" t="str">
        <f>IF(D28=1,"2WD",IF(D28&gt;1,"MFWD","ERROR"))</f>
        <v>MFWD</v>
      </c>
      <c r="F28" s="229"/>
      <c r="G28" s="75">
        <f>IF(D28=1,IF(D27&gt;1,"MFWD ONLY",""),"")</f>
      </c>
      <c r="H28" s="76"/>
      <c r="I28" s="77">
        <f>IF(D27=5,IF(D28&lt;3,"1500 OR ILS ONLY!",""),"")</f>
      </c>
      <c r="J28" s="74">
        <f>IF(D28=1,(0),IF(D28=2,(1534),IF(D28=3,(2531),IF(D28=4,(2934),"BAD"))))</f>
        <v>1534</v>
      </c>
      <c r="K28" s="74" t="str">
        <f>IF(D28=1,"0",IF(D28=2,"0",IF(D28=3,"0",IF(D28=4,"0","BAD"))))</f>
        <v>0</v>
      </c>
      <c r="L28" s="144"/>
      <c r="M28" s="144"/>
      <c r="N28" s="109"/>
      <c r="Z28" s="3"/>
      <c r="AA28" s="3"/>
      <c r="AG28" s="2"/>
      <c r="AH28" s="2"/>
      <c r="AK28" s="18"/>
      <c r="AM28" s="2"/>
      <c r="AZ28" s="3"/>
      <c r="BB28" s="2"/>
    </row>
    <row r="29" spans="1:54" ht="15" customHeight="1" thickBot="1">
      <c r="A29" s="103"/>
      <c r="B29" s="224" t="s">
        <v>53</v>
      </c>
      <c r="C29" s="225"/>
      <c r="D29" s="195">
        <v>1</v>
      </c>
      <c r="E29" s="228" t="str">
        <f>IF(D29=1,"PST",IF(D29=2,"IVT","ERROR"))</f>
        <v>PST</v>
      </c>
      <c r="F29" s="229"/>
      <c r="G29" s="78">
        <f>IF(D29=2,IF(D28=1,"PST only with 2WD",""),"")</f>
      </c>
      <c r="H29" s="179"/>
      <c r="I29" s="79">
        <f>IF(D29=1,IF(D27=5,"IVT only with 8530",""),"")</f>
      </c>
      <c r="J29" s="74">
        <f>IF(D29=1,(0),IF(D29=2,(475),"BAD"))</f>
        <v>0</v>
      </c>
      <c r="K29" s="74">
        <f>IF(D29=1,(0),IF(D29=2,(-36),"BAD"))</f>
        <v>0</v>
      </c>
      <c r="L29" s="144"/>
      <c r="M29" s="144"/>
      <c r="N29" s="109"/>
      <c r="Z29" s="3"/>
      <c r="AA29" s="3"/>
      <c r="AG29" s="2"/>
      <c r="AH29" s="2"/>
      <c r="AK29" s="18"/>
      <c r="AM29" s="2"/>
      <c r="AZ29" s="3"/>
      <c r="BB29" s="2"/>
    </row>
    <row r="30" spans="1:54" ht="15" customHeight="1" thickBot="1">
      <c r="A30" s="103"/>
      <c r="B30" s="224" t="s">
        <v>146</v>
      </c>
      <c r="C30" s="225"/>
      <c r="D30" s="195">
        <v>11</v>
      </c>
      <c r="E30" s="226" t="str">
        <f>VLOOKUP(D30,'8030 Wheel Data Sheet'!BB108:BE125,3,FALSE)</f>
        <v>420/85R34</v>
      </c>
      <c r="F30" s="227"/>
      <c r="G30" s="168">
        <f>IF(D28=1,IF(D30&gt;2,"SELECT 2WD TIRE",""),"")</f>
      </c>
      <c r="H30" s="80"/>
      <c r="I30" s="81">
        <f>IF(D28&gt;1,IF(D30&lt;3,"SELECT MFWD TIRE",""),"")</f>
      </c>
      <c r="J30" s="74">
        <f>IF(D28=1,"0",VLOOKUP(D31,'8030 Wheel Data Sheet'!L26:S40,5,FALSE))</f>
        <v>366</v>
      </c>
      <c r="K30" s="74"/>
      <c r="L30" s="144"/>
      <c r="M30" s="144"/>
      <c r="N30" s="109"/>
      <c r="Z30" s="3"/>
      <c r="AA30" s="3"/>
      <c r="AG30" s="2"/>
      <c r="AH30" s="2"/>
      <c r="AK30" s="18"/>
      <c r="AM30" s="2"/>
      <c r="AZ30" s="3"/>
      <c r="BB30" s="2"/>
    </row>
    <row r="31" spans="1:54" ht="15" customHeight="1" thickBot="1">
      <c r="A31" s="103"/>
      <c r="B31" s="224" t="s">
        <v>147</v>
      </c>
      <c r="C31" s="225"/>
      <c r="D31" s="195">
        <v>6</v>
      </c>
      <c r="E31" s="237" t="str">
        <f>VLOOKUP(D31,'8030 Wheel Data Sheet'!L26:S40,3,FALSE)</f>
        <v>480/80R50</v>
      </c>
      <c r="F31" s="229"/>
      <c r="G31" s="82"/>
      <c r="H31" s="80"/>
      <c r="I31" s="162"/>
      <c r="J31" s="74"/>
      <c r="K31" s="74">
        <f>VLOOKUP(D31,'8030 Wheel Data Sheet'!L26:S40,7,FALSE)</f>
        <v>243</v>
      </c>
      <c r="L31" s="144"/>
      <c r="M31" s="144"/>
      <c r="N31" s="109"/>
      <c r="Z31" s="3"/>
      <c r="AA31" s="3"/>
      <c r="AG31" s="2"/>
      <c r="AH31" s="2"/>
      <c r="AK31" s="18"/>
      <c r="AM31" s="2"/>
      <c r="AZ31" s="3"/>
      <c r="BB31" s="2"/>
    </row>
    <row r="32" spans="1:54" ht="18" customHeight="1" thickBot="1">
      <c r="A32" s="103"/>
      <c r="B32" s="232" t="s">
        <v>52</v>
      </c>
      <c r="C32" s="225"/>
      <c r="D32" s="200">
        <v>2</v>
      </c>
      <c r="E32" s="226" t="str">
        <f>IF(D32=1," FRONT DUALS",IF(D32=2,"NO FRONT DUALS","BAD"))</f>
        <v>NO FRONT DUALS</v>
      </c>
      <c r="F32" s="229"/>
      <c r="G32" s="78">
        <f>IF(D28&lt;3,IF(D32=1,"No Front Duals w/ 2wd or 1300 axle",""),"")</f>
      </c>
      <c r="H32" s="78"/>
      <c r="I32" s="180"/>
      <c r="J32" s="74" t="str">
        <f>IF(D32=2,"0",VLOOKUP(D31,'8030 Wheel Data Sheet'!L26:S40,6,FALSE))</f>
        <v>0</v>
      </c>
      <c r="K32" s="84"/>
      <c r="L32" s="144"/>
      <c r="M32" s="144"/>
      <c r="N32" s="109"/>
      <c r="Z32" s="3"/>
      <c r="AA32" s="3"/>
      <c r="AG32" s="2"/>
      <c r="AH32" s="2"/>
      <c r="AK32" s="18"/>
      <c r="AM32" s="2"/>
      <c r="AZ32" s="3"/>
      <c r="BB32" s="2"/>
    </row>
    <row r="33" spans="1:54" ht="18" customHeight="1" thickBot="1">
      <c r="A33" s="103"/>
      <c r="B33" s="232" t="s">
        <v>51</v>
      </c>
      <c r="C33" s="225"/>
      <c r="D33" s="195">
        <v>1</v>
      </c>
      <c r="E33" s="226" t="str">
        <f>IF(D33=1,"REAR DUALS",IF(D33=2,"NO REAR DUALS","BAD"))</f>
        <v>REAR DUALS</v>
      </c>
      <c r="F33" s="229"/>
      <c r="G33" s="78">
        <f>IF(D32=1,IF(D33=2,"MUST ALSO HAVE REAR DUALS!",""),"")</f>
      </c>
      <c r="H33" s="85"/>
      <c r="I33" s="83"/>
      <c r="J33" s="74"/>
      <c r="K33" s="86">
        <f>IF(D33=2,"0",VLOOKUP(D31,'8030 Wheel Data Sheet'!L26:S40,8,FALSE))</f>
        <v>2006</v>
      </c>
      <c r="L33" s="144"/>
      <c r="M33" s="144"/>
      <c r="N33" s="109"/>
      <c r="Z33" s="3"/>
      <c r="AA33" s="3"/>
      <c r="AG33" s="2"/>
      <c r="AH33" s="2"/>
      <c r="AK33" s="18"/>
      <c r="AM33" s="2"/>
      <c r="AZ33" s="3"/>
      <c r="BB33" s="2"/>
    </row>
    <row r="34" spans="1:54" ht="13.5" customHeight="1" thickBot="1">
      <c r="A34" s="103"/>
      <c r="B34" s="134"/>
      <c r="C34" s="134"/>
      <c r="D34" s="131"/>
      <c r="E34" s="131"/>
      <c r="F34" s="131"/>
      <c r="G34" s="135"/>
      <c r="H34" s="233" t="s">
        <v>33</v>
      </c>
      <c r="I34" s="234"/>
      <c r="J34" s="87">
        <f>SUM(J27:J33)</f>
        <v>8961</v>
      </c>
      <c r="K34" s="87">
        <f>SUM(K27:K33)</f>
        <v>14991</v>
      </c>
      <c r="L34" s="144"/>
      <c r="M34" s="144"/>
      <c r="N34" s="109"/>
      <c r="Z34" s="3"/>
      <c r="AA34" s="3"/>
      <c r="AG34" s="2"/>
      <c r="AH34" s="2"/>
      <c r="AK34" s="18"/>
      <c r="AM34" s="2"/>
      <c r="AZ34" s="3"/>
      <c r="BB34" s="2"/>
    </row>
    <row r="35" spans="1:54" ht="6" customHeight="1" thickBot="1">
      <c r="A35" s="103"/>
      <c r="B35" s="129"/>
      <c r="C35" s="130"/>
      <c r="D35" s="123"/>
      <c r="E35" s="123"/>
      <c r="F35" s="123"/>
      <c r="G35" s="123"/>
      <c r="H35" s="131"/>
      <c r="I35" s="132"/>
      <c r="J35" s="133"/>
      <c r="K35" s="133"/>
      <c r="L35" s="144"/>
      <c r="M35" s="144"/>
      <c r="N35" s="109"/>
      <c r="Z35" s="3"/>
      <c r="AA35" s="3"/>
      <c r="AG35" s="2"/>
      <c r="AH35" s="2"/>
      <c r="AK35" s="18"/>
      <c r="AM35" s="2"/>
      <c r="AZ35" s="3"/>
      <c r="BB35" s="2"/>
    </row>
    <row r="36" spans="1:54" ht="14.25" customHeight="1" thickBot="1">
      <c r="A36" s="103"/>
      <c r="B36" s="88"/>
      <c r="C36" s="197" t="s">
        <v>112</v>
      </c>
      <c r="D36" s="198">
        <v>2</v>
      </c>
      <c r="E36" s="123"/>
      <c r="F36" s="167">
        <f>IF(D32=1,IF(E30="320/80R42","FRONT DUALS NOT AVAILABLE WITH TIRE SELECTION",IF(E30="540/65R34","FRONT DUALS NOT AVAILABLE WITH TIRE SELECTION",IF(E30="540/75R34","FRONT DUALS NOT AVAILABLE WITH TIRE SELECTION",IF(E30="600/70R30","FRONT DUALS NOT AVAILABLE WITH TIRE SELECTION",IF(E30="620/75R30","FRONT DUALS NOT AVAILABLE WITH TIRE SELECTION",""))))),"")</f>
      </c>
      <c r="G36" s="123"/>
      <c r="H36" s="123"/>
      <c r="I36" s="124"/>
      <c r="J36" s="151"/>
      <c r="K36" s="151"/>
      <c r="L36" s="144"/>
      <c r="M36" s="144"/>
      <c r="N36" s="109"/>
      <c r="Z36" s="3"/>
      <c r="AA36" s="3"/>
      <c r="AG36" s="2"/>
      <c r="AH36" s="2"/>
      <c r="AK36" s="18"/>
      <c r="AM36" s="2"/>
      <c r="AZ36" s="3"/>
      <c r="BB36" s="2"/>
    </row>
    <row r="37" spans="1:54" ht="10.5" customHeight="1" thickBot="1">
      <c r="A37" s="103"/>
      <c r="B37" s="136"/>
      <c r="C37" s="137"/>
      <c r="D37" s="199"/>
      <c r="E37" s="123"/>
      <c r="F37" s="167">
        <f>IF(D33=2,IF(E31="710/70r38","",IF(E31="710/70r42","",IF(E31="800/70r38","","MUST HAVE REAR DUALS WITH TIRE SELECTION"))),"")</f>
      </c>
      <c r="G37" s="123"/>
      <c r="H37" s="123"/>
      <c r="I37" s="124"/>
      <c r="J37" s="151"/>
      <c r="K37" s="151"/>
      <c r="L37" s="144"/>
      <c r="M37" s="144"/>
      <c r="N37" s="109"/>
      <c r="Z37" s="3"/>
      <c r="AA37" s="3"/>
      <c r="AG37" s="2"/>
      <c r="AH37" s="2"/>
      <c r="AK37" s="18"/>
      <c r="AM37" s="2"/>
      <c r="AZ37" s="3"/>
      <c r="BB37" s="2"/>
    </row>
    <row r="38" spans="1:54" ht="14.25" customHeight="1" thickBot="1">
      <c r="A38" s="103"/>
      <c r="B38" s="243" t="str">
        <f>IF(D36=2,"If Integral;   Select Implement Code","")</f>
        <v>If Integral;   Select Implement Code</v>
      </c>
      <c r="C38" s="244"/>
      <c r="D38" s="198">
        <v>7</v>
      </c>
      <c r="E38" s="167" t="str">
        <f>IF(D36=2,"For Implement Codes- See your Implement Operator's Manual","")</f>
        <v>For Implement Codes- See your Implement Operator's Manual</v>
      </c>
      <c r="F38" s="123"/>
      <c r="G38" s="123"/>
      <c r="H38" s="123"/>
      <c r="I38" s="124"/>
      <c r="J38" s="151"/>
      <c r="K38" s="151"/>
      <c r="L38" s="144"/>
      <c r="M38" s="144"/>
      <c r="N38" s="109"/>
      <c r="Z38" s="3"/>
      <c r="AA38" s="3"/>
      <c r="AG38" s="2"/>
      <c r="AH38" s="2"/>
      <c r="AK38" s="18"/>
      <c r="AM38" s="2"/>
      <c r="AZ38" s="3"/>
      <c r="BB38" s="2"/>
    </row>
    <row r="39" spans="1:54" ht="14.25" customHeight="1" thickBot="1">
      <c r="A39" s="103"/>
      <c r="B39" s="243">
        <f>IF(D36=1,"If Drawn;             Select Ballast Level","")</f>
      </c>
      <c r="C39" s="244"/>
      <c r="D39" s="195">
        <v>1</v>
      </c>
      <c r="E39" s="167"/>
      <c r="F39" s="123"/>
      <c r="G39" s="123"/>
      <c r="H39" s="123"/>
      <c r="I39" s="124"/>
      <c r="J39" s="125"/>
      <c r="K39" s="125"/>
      <c r="L39" s="144"/>
      <c r="M39" s="144"/>
      <c r="N39" s="109"/>
      <c r="Z39" s="3"/>
      <c r="AA39" s="3"/>
      <c r="AG39" s="2"/>
      <c r="AH39" s="2"/>
      <c r="AK39" s="18"/>
      <c r="AM39" s="2"/>
      <c r="AZ39" s="3"/>
      <c r="BB39" s="2"/>
    </row>
    <row r="40" spans="1:54" ht="12.75" customHeight="1" thickBot="1">
      <c r="A40" s="103"/>
      <c r="B40" s="136"/>
      <c r="C40" s="137"/>
      <c r="D40" s="155"/>
      <c r="E40" s="126"/>
      <c r="F40" s="126"/>
      <c r="G40" s="126"/>
      <c r="H40" s="126"/>
      <c r="I40" s="127"/>
      <c r="J40" s="128"/>
      <c r="K40" s="128"/>
      <c r="L40" s="144"/>
      <c r="M40" s="144"/>
      <c r="N40" s="109"/>
      <c r="Z40" s="3"/>
      <c r="AA40" s="3"/>
      <c r="AG40" s="2"/>
      <c r="AH40" s="2"/>
      <c r="AK40" s="18"/>
      <c r="AM40" s="2"/>
      <c r="AZ40" s="3"/>
      <c r="BB40" s="2"/>
    </row>
    <row r="41" spans="1:14" s="17" customFormat="1" ht="26.25" thickBot="1">
      <c r="A41" s="112"/>
      <c r="B41" s="89" t="s">
        <v>95</v>
      </c>
      <c r="C41" s="95" t="s">
        <v>34</v>
      </c>
      <c r="D41" s="90" t="s">
        <v>104</v>
      </c>
      <c r="E41" s="241" t="s">
        <v>103</v>
      </c>
      <c r="F41" s="242"/>
      <c r="G41" s="91" t="s">
        <v>23</v>
      </c>
      <c r="H41" s="91" t="s">
        <v>22</v>
      </c>
      <c r="I41" s="91" t="s">
        <v>25</v>
      </c>
      <c r="J41" s="92"/>
      <c r="K41" s="92"/>
      <c r="L41" s="145"/>
      <c r="M41" s="145"/>
      <c r="N41" s="110"/>
    </row>
    <row r="42" spans="1:54" ht="15" customHeight="1" thickBot="1">
      <c r="A42" s="103"/>
      <c r="B42" s="170">
        <f>IF(D36=1,VLOOKUP(D28,E64:K67,7,FALSE),"")</f>
      </c>
      <c r="C42" s="164">
        <v>6</v>
      </c>
      <c r="D42" s="201">
        <f>VLOOKUP(C42,'8030 Wheel Data Sheet'!T44:AA60,4,FALSE)</f>
        <v>1</v>
      </c>
      <c r="E42" s="230">
        <f>VLOOKUP(C42,'8030 Wheel Data Sheet'!T44:AA60,5,FALSE)</f>
        <v>0</v>
      </c>
      <c r="F42" s="231"/>
      <c r="G42" s="202">
        <f>VLOOKUP(C42,'8030 Wheel Data Sheet'!T44:AA60,6,FALSE)</f>
        <v>0</v>
      </c>
      <c r="H42" s="202">
        <f>VLOOKUP(C42,'8030 Wheel Data Sheet'!T44:AA60,7,FALSE)</f>
        <v>0</v>
      </c>
      <c r="I42" s="202">
        <f>VLOOKUP(C42,'8030 Wheel Data Sheet'!T44:AA60,8,FALSE)</f>
        <v>0</v>
      </c>
      <c r="J42" s="94">
        <f>IF(D28=4,(D42*551),IF(D28=3,(D42*544),IF(D28=2,(D42*544),IF(D28=1,D42*518))))+IF(D28=4,(E42*163),IF(D28=3,(E42*161),IF(D28=2,(E42*161),IF(D28=1,(E42*153)))))</f>
        <v>544</v>
      </c>
      <c r="K42" s="94">
        <f>IF(D28=4,(D42*-176),IF(D28=3,(D42*-169),IF(D28=2,(D42*-169),IF(D28=1,D42*-143))))+IF(D28=4,(E42*-59),IF(D28=3,(E42*-57),IF(D28=2,(E42*-57),IF(D28=1,(E42*-49)))))+(G42*330)+(H42*900)+(I42*2800)</f>
        <v>-169</v>
      </c>
      <c r="L42" s="142">
        <f>IF(E33=VLOOKUP(C42,'8030 Wheel Data Sheet'!T44:AA60,3,FALSE),"",IF(VLOOKUP(C42,'8030 Wheel Data Sheet'!T44:AA60,3,FALSE)="BOTH","","BALLAST CODE NOT AVAILABLE"))</f>
      </c>
      <c r="M42" s="143">
        <f>IF(N42="REAR DUALS",IF(E33="NO REAR DUALS","WITHOUT","WITH"),"")</f>
      </c>
      <c r="N42" s="146">
        <f>IF(E33=VLOOKUP(C42,'8030 Wheel Data Sheet'!T44:AA60,3,FALSE),"",IF(VLOOKUP(C42,'8030 Wheel Data Sheet'!T44:AA60,3,FALSE)="BOTH","","REAR DUALS"))</f>
      </c>
      <c r="Z42" s="3"/>
      <c r="AA42" s="3"/>
      <c r="AG42" s="2"/>
      <c r="AH42" s="2"/>
      <c r="AK42" s="18"/>
      <c r="AM42" s="2"/>
      <c r="AZ42" s="3"/>
      <c r="BB42" s="2"/>
    </row>
    <row r="43" spans="1:54" ht="15" customHeight="1" thickBot="1">
      <c r="A43" s="103"/>
      <c r="B43" s="171" t="str">
        <f>IF(D36=2,VLOOKUP(D38,'8030 Wheel Data Sheet'!CT175:DE198,12,FALSE),"")</f>
        <v>9401 &amp; 9021</v>
      </c>
      <c r="C43" s="164">
        <v>14</v>
      </c>
      <c r="D43" s="201">
        <f>VLOOKUP(C43,'8030 Wheel Data Sheet'!T44:AA60,4,FALSE)</f>
        <v>0</v>
      </c>
      <c r="E43" s="237">
        <f>VLOOKUP(C43,'8030 Wheel Data Sheet'!T44:AA60,5,FALSE)</f>
        <v>0</v>
      </c>
      <c r="F43" s="238"/>
      <c r="G43" s="202">
        <f>VLOOKUP(C43,'8030 Wheel Data Sheet'!T44:AA60,6,FALSE)</f>
        <v>0</v>
      </c>
      <c r="H43" s="202">
        <f>VLOOKUP(C43,'8030 Wheel Data Sheet'!T44:AA60,7,FALSE)</f>
        <v>0</v>
      </c>
      <c r="I43" s="202">
        <f>VLOOKUP(C43,'8030 Wheel Data Sheet'!T44:AA60,8,FALSE)</f>
        <v>1</v>
      </c>
      <c r="J43" s="94">
        <f>IF(D28=4,(D43*551),IF(D28=3,(D43*544),IF(D28=2,(D43*544),IF(D28=1,D43*518))))+IF(D28=4,(E43*163),IF(D28=3,(E43*161),IF(D28=2,(E43*161),IF(D28=1,(E43*153)))))</f>
        <v>0</v>
      </c>
      <c r="K43" s="94">
        <f>IF(D28=4,(D43*-176),IF(D28=3,(D43*-169),IF(D28=2,(D43*-169),IF(D28=1,D43*-143))))+IF(D28=4,(E43*-59),IF(D28=3,(E43*-57),IF(D28=2,(E43*-57),IF(D28=1,(E43*-49)))))+(G43*330)+(H43*900)+(I43*2800)</f>
        <v>2800</v>
      </c>
      <c r="L43" s="142">
        <f>IF(E33=VLOOKUP(C43,'8030 Wheel Data Sheet'!T44:AA60,3,FALSE),"",IF(VLOOKUP(C43,'8030 Wheel Data Sheet'!T44:AA60,3,FALSE)="BOTH","","BALLAST CODE NOT AVAILABLE"))</f>
      </c>
      <c r="M43" s="143">
        <f>IF(N43="REAR DUALS",IF(E33="NO REAR DUALS","WITHOUT","WITH"),"")</f>
      </c>
      <c r="N43" s="146">
        <f>IF(E33=VLOOKUP(C43,'8030 Wheel Data Sheet'!T44:AA60,3,FALSE),"",IF(VLOOKUP(C43,'8030 Wheel Data Sheet'!T44:AA60,3,FALSE)="BOTH","","REAR DUALS"))</f>
      </c>
      <c r="Z43" s="3"/>
      <c r="AA43" s="3"/>
      <c r="AG43" s="2"/>
      <c r="AH43" s="2"/>
      <c r="AK43" s="18"/>
      <c r="AM43" s="2"/>
      <c r="AZ43" s="3"/>
      <c r="BB43" s="2"/>
    </row>
    <row r="44" spans="1:54" ht="15" customHeight="1" thickBot="1">
      <c r="A44" s="103"/>
      <c r="B44" s="172">
        <f>IF(D36=3,"????","")</f>
      </c>
      <c r="C44" s="164">
        <v>1</v>
      </c>
      <c r="D44" s="201">
        <f>VLOOKUP(C44,'8030 Wheel Data Sheet'!T44:AA60,4,FALSE)</f>
        <v>0</v>
      </c>
      <c r="E44" s="237">
        <f>VLOOKUP(C44,'8030 Wheel Data Sheet'!T44:AA60,5,FALSE)</f>
        <v>0</v>
      </c>
      <c r="F44" s="238"/>
      <c r="G44" s="202">
        <f>VLOOKUP(C44,'8030 Wheel Data Sheet'!T44:AA60,6,FALSE)</f>
        <v>0</v>
      </c>
      <c r="H44" s="202">
        <f>VLOOKUP(C44,'8030 Wheel Data Sheet'!T44:AA60,7,FALSE)</f>
        <v>0</v>
      </c>
      <c r="I44" s="202">
        <f>VLOOKUP(C44,'8030 Wheel Data Sheet'!T44:AA60,8,FALSE)</f>
        <v>0</v>
      </c>
      <c r="J44" s="94">
        <f>IF(D28=4,(D44*551),IF(D28=3,(D44*544),IF(D28=2,(D44*544),IF(D28=1,D44*518))))+IF(D28=4,(E44*163),IF(D28=3,(E44*161),IF(D28=2,(E44*161),IF(D28=1,(E44*153)))))</f>
        <v>0</v>
      </c>
      <c r="K44" s="94">
        <f>IF(D28=4,(D44*-176),IF(D28=3,(D44*-169),IF(D28=2,(D44*-169),IF(D28=1,D44*-143))))+IF(D28=4,(E44*-59),IF(D28=3,(E44*-57),IF(D28=2,(E44*-57),IF(D28=1,(E44*-49)))))+(G44*330)+(H44*900)+(I44*2800)</f>
        <v>0</v>
      </c>
      <c r="L44" s="142">
        <f>IF(E33=VLOOKUP(C44,'8030 Wheel Data Sheet'!T44:AA60,3,FALSE),"",IF(VLOOKUP(C44,'8030 Wheel Data Sheet'!T44:AA60,3,FALSE)="BOTH","","BALLAST CODE NOT AVAILABLE"))</f>
      </c>
      <c r="M44" s="143">
        <f>IF(N44="REAR DUALS",IF(E33="NO REAR DUALS","WITHOUT","WITH"),"")</f>
      </c>
      <c r="N44" s="146">
        <f>IF(E33=VLOOKUP(C44,'8030 Wheel Data Sheet'!T44:AA62,3,FALSE),"",IF(VLOOKUP(C44,'8030 Wheel Data Sheet'!T44:AA62,3,FALSE)="BOTH","","REAR DUALS"))</f>
      </c>
      <c r="Z44" s="3"/>
      <c r="AA44" s="3"/>
      <c r="AG44" s="2"/>
      <c r="AH44" s="2"/>
      <c r="AK44" s="18"/>
      <c r="AM44" s="2"/>
      <c r="AZ44" s="3"/>
      <c r="BB44" s="2"/>
    </row>
    <row r="45" spans="1:54" ht="15" customHeight="1" thickBot="1">
      <c r="A45" s="103"/>
      <c r="B45" s="140"/>
      <c r="C45" s="141"/>
      <c r="D45" s="169"/>
      <c r="E45" s="138"/>
      <c r="F45" s="138"/>
      <c r="G45" s="144"/>
      <c r="H45" s="144"/>
      <c r="I45" s="144"/>
      <c r="J45" s="139"/>
      <c r="K45" s="139"/>
      <c r="L45" s="144"/>
      <c r="M45" s="144"/>
      <c r="N45" s="109"/>
      <c r="Z45" s="3"/>
      <c r="AA45" s="3"/>
      <c r="AG45" s="2"/>
      <c r="AH45" s="2"/>
      <c r="AK45" s="18"/>
      <c r="AM45" s="2"/>
      <c r="AZ45" s="3"/>
      <c r="BB45" s="2"/>
    </row>
    <row r="46" spans="1:54" ht="13.5" thickBot="1">
      <c r="A46" s="103"/>
      <c r="B46" s="233" t="s">
        <v>156</v>
      </c>
      <c r="C46" s="234"/>
      <c r="D46" s="189"/>
      <c r="E46" s="144"/>
      <c r="F46" s="144"/>
      <c r="G46" s="144"/>
      <c r="H46" s="144"/>
      <c r="I46" s="144"/>
      <c r="J46" s="125"/>
      <c r="K46" s="125"/>
      <c r="L46" s="144"/>
      <c r="M46" s="144"/>
      <c r="N46" s="109"/>
      <c r="Z46" s="3"/>
      <c r="AA46" s="3"/>
      <c r="AG46" s="2"/>
      <c r="AH46" s="2"/>
      <c r="AK46" s="18"/>
      <c r="AM46" s="2"/>
      <c r="AZ46" s="3"/>
      <c r="BB46" s="2"/>
    </row>
    <row r="47" spans="1:54" ht="13.5" thickBot="1">
      <c r="A47" s="103"/>
      <c r="B47" s="235" t="s">
        <v>155</v>
      </c>
      <c r="C47" s="236"/>
      <c r="D47" s="196">
        <v>1</v>
      </c>
      <c r="E47" s="205">
        <f>IF(D42+D43+D44+(D47-1)&gt;1,"Max (1) Front Weight Support","")</f>
      </c>
      <c r="F47" s="206"/>
      <c r="G47" s="206"/>
      <c r="H47" s="206"/>
      <c r="I47" s="191"/>
      <c r="J47" s="190">
        <f>IF(D28=4,((D47-1)*551),IF(D28=3,((D47-1)*544),IF(D28=2,((D47-1)*544),IF(D28=1,((D47-1)*518)))))</f>
        <v>0</v>
      </c>
      <c r="K47" s="190">
        <f>IF(D28=4,((D47-1)*-176),IF(D28=3,((D47-1)*-169),IF(D28=2,((D47-1)*-169),IF(D28=1,((D47-1)*-143)))))</f>
        <v>0</v>
      </c>
      <c r="L47" s="144"/>
      <c r="M47" s="144"/>
      <c r="N47" s="109"/>
      <c r="Z47" s="3"/>
      <c r="AA47" s="3"/>
      <c r="AG47" s="2"/>
      <c r="AH47" s="2"/>
      <c r="AK47" s="18"/>
      <c r="AM47" s="2"/>
      <c r="AZ47" s="3"/>
      <c r="BB47" s="2"/>
    </row>
    <row r="48" spans="1:54" ht="15.75" customHeight="1" thickBot="1">
      <c r="A48" s="103"/>
      <c r="B48" s="224" t="s">
        <v>82</v>
      </c>
      <c r="C48" s="225"/>
      <c r="D48" s="195">
        <v>1</v>
      </c>
      <c r="E48" s="203">
        <f>IF(((D48-1)*2+E42+E43+E44)&gt;22,"Max (22) Front Weights","")</f>
      </c>
      <c r="F48" s="207"/>
      <c r="G48" s="208"/>
      <c r="H48" s="209"/>
      <c r="I48" s="192"/>
      <c r="J48" s="74">
        <f>IF(D28=4,((D48-1)*2*163),IF(D28=3,((D48-1)*2*161),IF(D28=2,((D48-1)*2*161),IF(D28=1,((D48-1)*2*153)))))</f>
        <v>0</v>
      </c>
      <c r="K48" s="74">
        <f>IF(D28=4,((D48-1)*2*-59),IF(D28=3,((D48-1)*2*-57),IF(D28=2,((D48-1)*2*-57),IF(D28=1,((D48-1)*2*-49)))))</f>
        <v>0</v>
      </c>
      <c r="L48" s="144"/>
      <c r="M48" s="144"/>
      <c r="N48" s="109"/>
      <c r="Z48" s="3"/>
      <c r="AA48" s="3"/>
      <c r="AG48" s="2"/>
      <c r="AH48" s="2"/>
      <c r="AK48" s="18"/>
      <c r="AM48" s="2"/>
      <c r="AZ48" s="3"/>
      <c r="BB48" s="2"/>
    </row>
    <row r="49" spans="1:54" ht="15.75" customHeight="1" thickBot="1">
      <c r="A49" s="103"/>
      <c r="B49" s="224" t="s">
        <v>9</v>
      </c>
      <c r="C49" s="225"/>
      <c r="D49" s="195">
        <v>1</v>
      </c>
      <c r="E49" s="204">
        <f>IF((D49+G42+G43+G44)&gt;2,"Maximum Exceeded","")</f>
      </c>
      <c r="F49" s="207"/>
      <c r="G49" s="210"/>
      <c r="H49" s="209"/>
      <c r="I49" s="192"/>
      <c r="J49" s="74"/>
      <c r="K49" s="74">
        <f>IF(D49&gt;1,(D49-1)*165*2,0)</f>
        <v>0</v>
      </c>
      <c r="L49" s="144"/>
      <c r="M49" s="144"/>
      <c r="N49" s="109"/>
      <c r="Z49" s="3"/>
      <c r="AA49" s="3"/>
      <c r="AG49" s="2"/>
      <c r="AH49" s="2"/>
      <c r="AK49" s="18"/>
      <c r="AM49" s="2"/>
      <c r="AZ49" s="3"/>
      <c r="BB49" s="2"/>
    </row>
    <row r="50" spans="1:54" ht="17.25" customHeight="1" thickBot="1">
      <c r="A50" s="103"/>
      <c r="B50" s="224" t="s">
        <v>10</v>
      </c>
      <c r="C50" s="225"/>
      <c r="D50" s="195">
        <v>1</v>
      </c>
      <c r="E50" s="204">
        <f>IF(E33="NO REAR DUALS",IF(((D50-1)+H42+H43+H44)&gt;IF(((D51-1)+I42+I43+I44)&gt;0,0,2),"ERROR","OK"),IF(((D50-1)+H42+H43+H44)&gt;IF(((D51-1)+I42+I43+I44)&gt;0,3,4),"Maximum 450 lb Weights exceeded",""))</f>
      </c>
      <c r="F50" s="207"/>
      <c r="G50" s="209"/>
      <c r="H50" s="210"/>
      <c r="I50" s="192"/>
      <c r="J50" s="74"/>
      <c r="K50" s="74">
        <f>IF(D50&gt;1,(D50-1)*450*2,0)</f>
        <v>0</v>
      </c>
      <c r="L50" s="119"/>
      <c r="M50" s="144"/>
      <c r="N50" s="109"/>
      <c r="Z50" s="3"/>
      <c r="AA50" s="3"/>
      <c r="AG50" s="2"/>
      <c r="AH50" s="2"/>
      <c r="AK50" s="18"/>
      <c r="AM50" s="2"/>
      <c r="AZ50" s="3"/>
      <c r="BB50" s="2"/>
    </row>
    <row r="51" spans="1:54" ht="15.75" customHeight="1" thickBot="1">
      <c r="A51" s="103"/>
      <c r="B51" s="224" t="s">
        <v>13</v>
      </c>
      <c r="C51" s="225"/>
      <c r="D51" s="195">
        <v>1</v>
      </c>
      <c r="E51" s="204">
        <f>IF(((D51-1)+I42+I43+I44)&gt;1,"Maximum 1400 lb. Weights exceeded","")</f>
      </c>
      <c r="F51" s="207"/>
      <c r="G51" s="209"/>
      <c r="H51" s="209"/>
      <c r="I51" s="211"/>
      <c r="J51" s="74"/>
      <c r="K51" s="74">
        <f>IF(D51&gt;0,(D51-1)*1400*2,0)</f>
        <v>0</v>
      </c>
      <c r="L51" s="144"/>
      <c r="M51" s="144"/>
      <c r="N51" s="109"/>
      <c r="Z51" s="3"/>
      <c r="AA51" s="3"/>
      <c r="AG51" s="2"/>
      <c r="AH51" s="2"/>
      <c r="AK51" s="18"/>
      <c r="AM51" s="2"/>
      <c r="AZ51" s="3"/>
      <c r="BB51" s="2"/>
    </row>
    <row r="52" spans="1:54" ht="13.5" thickBot="1">
      <c r="A52" s="103"/>
      <c r="B52" s="104"/>
      <c r="C52" s="118"/>
      <c r="D52" s="119"/>
      <c r="E52" s="120"/>
      <c r="F52" s="120"/>
      <c r="G52" s="120"/>
      <c r="H52" s="239" t="s">
        <v>102</v>
      </c>
      <c r="I52" s="240"/>
      <c r="J52" s="87">
        <f>SUM(J34:J51)</f>
        <v>9505</v>
      </c>
      <c r="K52" s="87">
        <f>SUM(K34:K51)</f>
        <v>17622</v>
      </c>
      <c r="L52" s="144"/>
      <c r="M52" s="144"/>
      <c r="N52" s="109"/>
      <c r="Z52" s="3"/>
      <c r="AA52" s="3"/>
      <c r="AG52" s="2"/>
      <c r="AH52" s="2"/>
      <c r="AK52" s="18"/>
      <c r="AM52" s="2"/>
      <c r="AZ52" s="3"/>
      <c r="BB52" s="2"/>
    </row>
    <row r="53" spans="1:54" ht="11.25" customHeight="1" thickBot="1">
      <c r="A53" s="103"/>
      <c r="B53" s="104"/>
      <c r="C53" s="118"/>
      <c r="D53" s="119"/>
      <c r="E53" s="120"/>
      <c r="F53" s="120"/>
      <c r="G53" s="120"/>
      <c r="H53" s="120"/>
      <c r="I53" s="120"/>
      <c r="J53" s="119"/>
      <c r="K53" s="119"/>
      <c r="L53" s="144"/>
      <c r="M53" s="144"/>
      <c r="N53" s="109"/>
      <c r="Z53" s="3"/>
      <c r="AA53" s="3"/>
      <c r="AG53" s="2"/>
      <c r="AH53" s="2"/>
      <c r="AK53" s="18"/>
      <c r="AM53" s="2"/>
      <c r="AZ53" s="3"/>
      <c r="BB53" s="2"/>
    </row>
    <row r="54" spans="1:54" ht="16.5" customHeight="1" thickBot="1">
      <c r="A54" s="103"/>
      <c r="B54" s="104"/>
      <c r="C54" s="93" t="s">
        <v>11</v>
      </c>
      <c r="D54" s="93" t="s">
        <v>14</v>
      </c>
      <c r="E54" s="121"/>
      <c r="F54" s="121"/>
      <c r="G54" s="93" t="s">
        <v>21</v>
      </c>
      <c r="H54" s="93" t="s">
        <v>17</v>
      </c>
      <c r="I54" s="120"/>
      <c r="J54" s="99" t="s">
        <v>5</v>
      </c>
      <c r="K54" s="99" t="s">
        <v>6</v>
      </c>
      <c r="L54" s="144"/>
      <c r="M54" s="144"/>
      <c r="N54" s="109"/>
      <c r="Z54" s="3"/>
      <c r="AA54" s="3"/>
      <c r="AG54" s="2"/>
      <c r="AH54" s="2"/>
      <c r="AK54" s="18"/>
      <c r="AM54" s="2"/>
      <c r="AZ54" s="3"/>
      <c r="BB54" s="2"/>
    </row>
    <row r="55" spans="1:54" ht="16.5" customHeight="1" thickBot="1">
      <c r="A55" s="103"/>
      <c r="B55" s="104"/>
      <c r="C55" s="96">
        <f>K52+J52</f>
        <v>27127</v>
      </c>
      <c r="D55" s="96">
        <f>C55/E27</f>
        <v>120.56444444444445</v>
      </c>
      <c r="E55" s="122"/>
      <c r="F55" s="122"/>
      <c r="G55" s="97">
        <f>VLOOKUP(J52,'8030 Wheel Data Sheet'!CO127:CP164,2)</f>
        <v>17</v>
      </c>
      <c r="H55" s="97">
        <f>VLOOKUP(K52,'8030 Wheel Data Sheet'!AZ66:BA105,2)</f>
        <v>11</v>
      </c>
      <c r="I55" s="120"/>
      <c r="J55" s="98">
        <f>J52/C55</f>
        <v>0.3503889114166697</v>
      </c>
      <c r="K55" s="98">
        <f>K52/C55</f>
        <v>0.6496110885833303</v>
      </c>
      <c r="L55" s="144"/>
      <c r="M55" s="144"/>
      <c r="N55" s="109"/>
      <c r="Z55" s="3"/>
      <c r="AA55" s="3"/>
      <c r="AG55" s="2"/>
      <c r="AH55" s="2"/>
      <c r="AK55" s="18"/>
      <c r="AM55" s="2"/>
      <c r="AZ55" s="3"/>
      <c r="BB55" s="2"/>
    </row>
    <row r="56" spans="1:54" ht="19.5" customHeight="1">
      <c r="A56" s="103"/>
      <c r="B56" s="104"/>
      <c r="C56" s="144"/>
      <c r="D56" s="104"/>
      <c r="E56" s="149">
        <f>IF(G55="-","MAX LOAD EXCEEDED PER FRONT TIRE","")</f>
      </c>
      <c r="F56" s="148"/>
      <c r="G56" s="148"/>
      <c r="H56" s="148"/>
      <c r="I56" s="149">
        <f>IF(H55="-","MAX LOAD EXCEEDED PER REAR TIRE","")</f>
      </c>
      <c r="J56" s="144"/>
      <c r="K56" s="144"/>
      <c r="L56" s="144"/>
      <c r="M56" s="144"/>
      <c r="N56" s="109"/>
      <c r="Z56" s="3"/>
      <c r="AA56" s="3"/>
      <c r="AG56" s="2"/>
      <c r="AH56" s="2"/>
      <c r="AK56" s="18"/>
      <c r="AM56" s="2"/>
      <c r="AZ56" s="3"/>
      <c r="BB56" s="2"/>
    </row>
    <row r="57" spans="1:54" ht="22.5" customHeight="1">
      <c r="A57" s="103"/>
      <c r="B57" s="104"/>
      <c r="C57" s="104"/>
      <c r="D57" s="104"/>
      <c r="E57" s="148"/>
      <c r="F57" s="148"/>
      <c r="G57" s="148"/>
      <c r="H57" s="148"/>
      <c r="I57" s="120"/>
      <c r="J57" s="144"/>
      <c r="K57" s="144"/>
      <c r="L57" s="144"/>
      <c r="M57" s="144"/>
      <c r="N57" s="109"/>
      <c r="Z57" s="3"/>
      <c r="AA57" s="3"/>
      <c r="AG57" s="2"/>
      <c r="AH57" s="2"/>
      <c r="AK57" s="18"/>
      <c r="AM57" s="2"/>
      <c r="AZ57" s="3"/>
      <c r="BB57" s="2"/>
    </row>
    <row r="58" spans="1:54" ht="70.5" customHeight="1" thickBot="1">
      <c r="A58" s="113"/>
      <c r="B58" s="114"/>
      <c r="C58" s="114"/>
      <c r="D58" s="114"/>
      <c r="E58" s="115"/>
      <c r="F58" s="115"/>
      <c r="G58" s="115"/>
      <c r="H58" s="115"/>
      <c r="I58" s="116"/>
      <c r="J58" s="117"/>
      <c r="K58" s="117"/>
      <c r="L58" s="117"/>
      <c r="M58" s="117"/>
      <c r="N58" s="111"/>
      <c r="Z58" s="3"/>
      <c r="AA58" s="3"/>
      <c r="AG58" s="2"/>
      <c r="AH58" s="2"/>
      <c r="AK58" s="18"/>
      <c r="AM58" s="2"/>
      <c r="AZ58" s="3"/>
      <c r="BB58" s="2"/>
    </row>
    <row r="59" spans="2:9" ht="13.5" customHeight="1">
      <c r="B59" s="1"/>
      <c r="C59" s="1"/>
      <c r="D59" s="1"/>
      <c r="E59" s="13"/>
      <c r="F59" s="13"/>
      <c r="G59" s="13"/>
      <c r="H59" s="13"/>
      <c r="I59" s="14"/>
    </row>
    <row r="60" spans="4:54" ht="15.75">
      <c r="D60" s="53"/>
      <c r="E60" s="53"/>
      <c r="F60" s="53"/>
      <c r="G60" s="53"/>
      <c r="H60" s="53"/>
      <c r="I60" s="53"/>
      <c r="J60" s="53"/>
      <c r="V60" s="3"/>
      <c r="W60" s="3"/>
      <c r="X60" s="3"/>
      <c r="Y60" s="3"/>
      <c r="Z60" s="3"/>
      <c r="AA60" s="3"/>
      <c r="AC60" s="2"/>
      <c r="AD60" s="2"/>
      <c r="AE60" s="2"/>
      <c r="AF60" s="2"/>
      <c r="AG60" s="18"/>
      <c r="AH60" s="2"/>
      <c r="AM60" s="2"/>
      <c r="AV60" s="3"/>
      <c r="BB60" s="2"/>
    </row>
    <row r="61" spans="19:54" ht="12.75" customHeight="1" hidden="1">
      <c r="S61" s="3"/>
      <c r="T61" s="3"/>
      <c r="U61" s="3"/>
      <c r="V61" s="3"/>
      <c r="W61" s="3"/>
      <c r="X61" s="3"/>
      <c r="Y61" s="3"/>
      <c r="AB61" s="2"/>
      <c r="AC61" s="2"/>
      <c r="AD61" s="18"/>
      <c r="AE61" s="2"/>
      <c r="AF61" s="2"/>
      <c r="AG61" s="2"/>
      <c r="AH61" s="2"/>
      <c r="AM61" s="2"/>
      <c r="AS61" s="3"/>
      <c r="BB61" s="2"/>
    </row>
    <row r="62" spans="3:54" ht="15.75" hidden="1">
      <c r="C62" s="43"/>
      <c r="D62" s="44" t="str">
        <f>IF(D27=5,"8530",IF(D27=4,"8430",IF(D27=3,"8330",IF(D27=2,"8230","8130"))))</f>
        <v>8330</v>
      </c>
      <c r="G62" s="68">
        <v>1</v>
      </c>
      <c r="H62" s="68">
        <v>2</v>
      </c>
      <c r="I62" s="68">
        <v>3</v>
      </c>
      <c r="K62" s="6"/>
      <c r="S62" s="3"/>
      <c r="T62" s="3"/>
      <c r="U62" s="3"/>
      <c r="V62" s="3"/>
      <c r="W62" s="3"/>
      <c r="X62" s="3"/>
      <c r="Y62" s="3"/>
      <c r="AB62" s="2"/>
      <c r="AC62" s="2"/>
      <c r="AD62" s="18"/>
      <c r="AE62" s="2"/>
      <c r="AF62" s="2"/>
      <c r="AG62" s="2"/>
      <c r="AH62" s="2"/>
      <c r="AM62" s="2"/>
      <c r="AS62" s="3"/>
      <c r="BB62" s="2"/>
    </row>
    <row r="63" spans="3:54" ht="25.5" hidden="1">
      <c r="C63" s="43"/>
      <c r="D63" s="43" t="s">
        <v>16</v>
      </c>
      <c r="G63" s="68" t="s">
        <v>91</v>
      </c>
      <c r="H63" s="68" t="s">
        <v>92</v>
      </c>
      <c r="I63" s="68" t="s">
        <v>93</v>
      </c>
      <c r="K63" s="31" t="str">
        <f>IF(D39=1,"Light",IF(D39=2,"Medium",IF(D39=3,"Heavy","")))</f>
        <v>Light</v>
      </c>
      <c r="S63" s="3"/>
      <c r="T63" s="3"/>
      <c r="U63" s="3"/>
      <c r="V63" s="3"/>
      <c r="W63" s="3"/>
      <c r="X63" s="3"/>
      <c r="Y63" s="3"/>
      <c r="AB63" s="2"/>
      <c r="AC63" s="2"/>
      <c r="AD63" s="18"/>
      <c r="AE63" s="2"/>
      <c r="AF63" s="2"/>
      <c r="AG63" s="2"/>
      <c r="AH63" s="2"/>
      <c r="AM63" s="2"/>
      <c r="AS63" s="3"/>
      <c r="BB63" s="2"/>
    </row>
    <row r="64" spans="3:54" ht="12.75" customHeight="1" hidden="1">
      <c r="C64" s="63"/>
      <c r="E64" s="31">
        <v>1</v>
      </c>
      <c r="F64" s="31" t="s">
        <v>1</v>
      </c>
      <c r="G64" s="101" t="str">
        <f>IF(D27=5,"FALSE",IF(D27=4,"FALSE",IF(D27=3,"FALSE",IF(D27=2,"FALSE",IF(D27=1,"NONE","BAD")))))</f>
        <v>FALSE</v>
      </c>
      <c r="H64" s="101" t="str">
        <f>IF(D27=5,"FALSE",IF(D27=4,"FALSE",IF(D27=3,"FALSE",IF(D27=2,"FALSE",IF(D27=1,"9401","BAD")))))</f>
        <v>FALSE</v>
      </c>
      <c r="I64" s="101" t="str">
        <f>IF(D27=5,"FALSE",IF(D27=4,"FALSE",IF(D27=3,"FALSE",IF(D27=2,"FALSE",IF(D27=1,"9401","BAD")))))</f>
        <v>FALSE</v>
      </c>
      <c r="K64" s="102" t="str">
        <f>HLOOKUP(D39,G62:I67,3,"False")</f>
        <v>FALSE</v>
      </c>
      <c r="S64" s="3"/>
      <c r="T64" s="3"/>
      <c r="U64" s="3"/>
      <c r="V64" s="3"/>
      <c r="W64" s="3"/>
      <c r="X64" s="3"/>
      <c r="Y64" s="3"/>
      <c r="AB64" s="2"/>
      <c r="AC64" s="2"/>
      <c r="AD64" s="18"/>
      <c r="AE64" s="2"/>
      <c r="AF64" s="2"/>
      <c r="AG64" s="2"/>
      <c r="AH64" s="2"/>
      <c r="AM64" s="2"/>
      <c r="AS64" s="3"/>
      <c r="BB64" s="2"/>
    </row>
    <row r="65" spans="5:72" ht="12.75" customHeight="1" hidden="1">
      <c r="E65" s="31">
        <v>2</v>
      </c>
      <c r="F65" s="31">
        <v>1300</v>
      </c>
      <c r="G65" s="101" t="str">
        <f>IF(D27=5,"FALSE",IF(D27=4,"9287",IF(D27=3,"9401 &amp; 9228",IF(D27=2,"9401",IF(D27=1,"NONE","BAD")))))</f>
        <v>9401 &amp; 9228</v>
      </c>
      <c r="H65" s="101" t="str">
        <f>IF(D27=5,"FALSE",IF(D27=4,"9291",IF(D27=3,"9404,9228,9021",IF(D27=2,"9401,9264",IF(D27=1,"9401","BAD")))))</f>
        <v>9404,9228,9021</v>
      </c>
      <c r="I65" s="101" t="str">
        <f>IF(D27=5,"N/A",IF(D27=4,"9291",IF(D27=3,"9291",IF(D27=2,"9277",IF(D27=1,"9231","BAD")))))</f>
        <v>9291</v>
      </c>
      <c r="K65" s="102" t="str">
        <f>HLOOKUP(D39,G62:I67,4,"False")</f>
        <v>9401 &amp; 9228</v>
      </c>
      <c r="S65" s="3"/>
      <c r="T65" s="3"/>
      <c r="U65" s="3"/>
      <c r="V65" s="3"/>
      <c r="W65" s="3"/>
      <c r="X65" s="3"/>
      <c r="Y65" s="3"/>
      <c r="AB65" s="2"/>
      <c r="AC65" s="2"/>
      <c r="AD65" s="18"/>
      <c r="AE65" s="2"/>
      <c r="AF65" s="2"/>
      <c r="AG65" s="2"/>
      <c r="AH65" s="2"/>
      <c r="AK65" s="4"/>
      <c r="AL65" s="4"/>
      <c r="AM65" s="4"/>
      <c r="AN65" s="4"/>
      <c r="AO65" s="4"/>
      <c r="AP65" s="4"/>
      <c r="AQ65" s="4"/>
      <c r="AR65" s="4"/>
      <c r="AS65" s="6"/>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row>
    <row r="66" spans="5:72" ht="12.75" hidden="1">
      <c r="E66" s="31">
        <v>3</v>
      </c>
      <c r="F66" s="31">
        <v>1500</v>
      </c>
      <c r="G66" s="101" t="str">
        <f>IF(D27=5,"9408,9228,9283",IF(D27=4,"9401,9228,9021",IF(D27=3,"9264,9021",IF(D27=2,"NONE",IF(D27=1,"NONE","BAD")))))</f>
        <v>9264,9021</v>
      </c>
      <c r="H66" s="101" t="str">
        <f>IF(D27=5,"9408, 9228 &amp; 9276",IF(D27=4,"9401, 9228 &amp; 9276",IF(D27=3,"9401, 9228 &amp; 9021",IF(D27=2,"9264",IF(D27=1,"NONE","BAD")))))</f>
        <v>9401, 9228 &amp; 9021</v>
      </c>
      <c r="I66" s="101" t="str">
        <f>IF(D27=5,"9408, 9228 &amp; 9276",IF(D27=4,"9408, 9228 &amp; 9276",IF(D27=3,"9404, 9228 &amp; 9283",IF(D27=2,"9228",IF(D27=1,"9231","BAD")))))</f>
        <v>9404, 9228 &amp; 9283</v>
      </c>
      <c r="K66" s="102" t="str">
        <f>HLOOKUP(D39,G62:I67,5,"False")</f>
        <v>9264,9021</v>
      </c>
      <c r="S66" s="3"/>
      <c r="T66" s="3"/>
      <c r="U66" s="3"/>
      <c r="V66" s="3"/>
      <c r="W66" s="3"/>
      <c r="X66" s="3"/>
      <c r="Y66" s="3"/>
      <c r="AB66" s="2"/>
      <c r="AC66" s="2"/>
      <c r="AD66" s="18"/>
      <c r="AE66" s="2"/>
      <c r="AF66" s="2"/>
      <c r="AG66" s="2"/>
      <c r="AH66" s="2"/>
      <c r="AK66" s="4"/>
      <c r="AL66" s="4"/>
      <c r="AM66" s="4"/>
      <c r="AN66" s="4"/>
      <c r="AO66" s="4"/>
      <c r="AP66" s="4"/>
      <c r="AQ66" s="4"/>
      <c r="AR66" s="4"/>
      <c r="AS66" s="6"/>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row>
    <row r="67" spans="5:72" ht="12.75" hidden="1">
      <c r="E67" s="62">
        <v>4</v>
      </c>
      <c r="F67" s="31" t="s">
        <v>48</v>
      </c>
      <c r="G67" s="101" t="str">
        <f>IF(D27=5,"9408, 9228 &amp; 9283",IF(D27=4,"9404 &amp; 9228",IF(D27=3,"9401 &amp; 9228",IF(D27=2,"NONE",IF(D27=1,"NONE","BAD")))))</f>
        <v>9401 &amp; 9228</v>
      </c>
      <c r="H67" s="101" t="str">
        <f>IF(D27=5,"9291",IF(D27=4,"9408, 9228 &amp; 9283",IF(D27=3,"9277",IF(D27=2,"9401",IF(D27=1,"NONE","BAD")))))</f>
        <v>9277</v>
      </c>
      <c r="I67" s="101" t="str">
        <f>IF(D27=5,"9291",IF(D27=4,"9416, 9228 &amp; 9283",IF(D27=3,"9408, 9228 &amp; 9276",IF(D27=2,"9277",IF(D27=1,"9401","BAD")))))</f>
        <v>9408, 9228 &amp; 9276</v>
      </c>
      <c r="J67" s="67"/>
      <c r="K67" s="102" t="str">
        <f>HLOOKUP(D39,G62:I67,6,"False")</f>
        <v>9401 &amp; 9228</v>
      </c>
      <c r="S67" s="3"/>
      <c r="T67" s="3"/>
      <c r="U67" s="3"/>
      <c r="V67" s="3"/>
      <c r="W67" s="3"/>
      <c r="X67" s="3"/>
      <c r="Y67" s="3"/>
      <c r="AB67" s="2"/>
      <c r="AC67" s="2"/>
      <c r="AD67" s="18"/>
      <c r="AE67" s="2"/>
      <c r="AF67" s="2"/>
      <c r="AG67" s="2"/>
      <c r="AH67" s="2"/>
      <c r="AK67" s="4"/>
      <c r="AL67" s="4"/>
      <c r="AM67" s="4"/>
      <c r="AN67" s="4"/>
      <c r="AO67" s="4"/>
      <c r="AP67" s="4"/>
      <c r="AQ67" s="4"/>
      <c r="AR67" s="4"/>
      <c r="AS67" s="6"/>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row>
    <row r="68" spans="6:72" ht="12.75" hidden="1">
      <c r="F68" s="6"/>
      <c r="G68" s="6"/>
      <c r="H68" s="6"/>
      <c r="I68" s="6"/>
      <c r="S68" s="3"/>
      <c r="T68" s="3"/>
      <c r="U68" s="3"/>
      <c r="V68" s="3"/>
      <c r="W68" s="3"/>
      <c r="X68" s="3"/>
      <c r="Y68" s="3"/>
      <c r="AB68" s="2"/>
      <c r="AC68" s="2"/>
      <c r="AD68" s="18"/>
      <c r="AE68" s="2"/>
      <c r="AF68" s="2"/>
      <c r="AG68" s="2"/>
      <c r="AH68" s="2"/>
      <c r="AK68" s="4"/>
      <c r="AL68" s="4"/>
      <c r="AM68" s="4"/>
      <c r="AN68" s="4"/>
      <c r="AO68" s="4"/>
      <c r="AP68" s="4"/>
      <c r="AQ68" s="4"/>
      <c r="AR68" s="4"/>
      <c r="AS68" s="6"/>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row>
    <row r="69" spans="19:55" ht="12.75" hidden="1">
      <c r="S69" s="4"/>
      <c r="T69" s="6"/>
      <c r="U69" s="6"/>
      <c r="V69" s="6"/>
      <c r="W69" s="6"/>
      <c r="X69" s="10"/>
      <c r="Y69" s="11"/>
      <c r="Z69" s="6"/>
      <c r="AA69" s="20"/>
      <c r="AB69" s="6"/>
      <c r="AC69" s="6"/>
      <c r="AD69" s="6"/>
      <c r="AE69" s="20"/>
      <c r="AF69" s="2"/>
      <c r="AG69" s="2"/>
      <c r="AH69" s="2"/>
      <c r="AM69" s="2"/>
      <c r="AN69" s="18"/>
      <c r="BB69" s="2"/>
      <c r="BC69" s="3"/>
    </row>
    <row r="70" spans="19:55" ht="12.75">
      <c r="S70" s="4"/>
      <c r="T70" s="6"/>
      <c r="U70" s="6"/>
      <c r="V70" s="6"/>
      <c r="W70" s="6"/>
      <c r="X70" s="10"/>
      <c r="Y70" s="11"/>
      <c r="Z70" s="6"/>
      <c r="AA70" s="20"/>
      <c r="AB70" s="6"/>
      <c r="AC70" s="6"/>
      <c r="AD70" s="6"/>
      <c r="AE70" s="20"/>
      <c r="AF70" s="2"/>
      <c r="AG70" s="2"/>
      <c r="AH70" s="2"/>
      <c r="AM70" s="2"/>
      <c r="AN70" s="18"/>
      <c r="BB70" s="2"/>
      <c r="BC70" s="3"/>
    </row>
    <row r="71" spans="18:34" ht="12.75">
      <c r="R71" s="4"/>
      <c r="S71" s="6"/>
      <c r="T71" s="6"/>
      <c r="U71" s="6"/>
      <c r="V71" s="6"/>
      <c r="W71" s="10"/>
      <c r="X71" s="11"/>
      <c r="Y71" s="6"/>
      <c r="Z71" s="20"/>
      <c r="AA71" s="6"/>
      <c r="AB71" s="6"/>
      <c r="AC71" s="6"/>
      <c r="AD71" s="20"/>
      <c r="AE71" s="2"/>
      <c r="AF71" s="2"/>
      <c r="AG71" s="2"/>
      <c r="AH71" s="2"/>
    </row>
    <row r="72" spans="18:34" ht="12.75">
      <c r="R72" s="4"/>
      <c r="S72" s="6"/>
      <c r="T72" s="6"/>
      <c r="U72" s="6"/>
      <c r="V72" s="6"/>
      <c r="W72" s="10"/>
      <c r="X72" s="11"/>
      <c r="Y72" s="6"/>
      <c r="Z72" s="20"/>
      <c r="AA72" s="6"/>
      <c r="AB72" s="6"/>
      <c r="AC72" s="6"/>
      <c r="AD72" s="20"/>
      <c r="AE72" s="2"/>
      <c r="AF72" s="2"/>
      <c r="AG72" s="2"/>
      <c r="AH72" s="2"/>
    </row>
    <row r="73" spans="18:34" ht="12.75">
      <c r="R73" s="12"/>
      <c r="S73" s="7"/>
      <c r="T73" s="7"/>
      <c r="U73" s="7"/>
      <c r="V73" s="7"/>
      <c r="W73" s="10"/>
      <c r="X73" s="11"/>
      <c r="Y73" s="6"/>
      <c r="Z73" s="20"/>
      <c r="AA73" s="6"/>
      <c r="AB73" s="6"/>
      <c r="AC73" s="6"/>
      <c r="AD73" s="20"/>
      <c r="AE73" s="2"/>
      <c r="AF73" s="2"/>
      <c r="AG73" s="2"/>
      <c r="AH73" s="2"/>
    </row>
    <row r="74" spans="18:34" ht="12.75">
      <c r="R74" s="19"/>
      <c r="S74" s="6"/>
      <c r="T74" s="6"/>
      <c r="U74" s="6"/>
      <c r="V74" s="21"/>
      <c r="W74" s="7"/>
      <c r="X74" s="21"/>
      <c r="Y74" s="6"/>
      <c r="Z74" s="20"/>
      <c r="AA74" s="6"/>
      <c r="AB74" s="6"/>
      <c r="AC74" s="6"/>
      <c r="AD74" s="20"/>
      <c r="AE74" s="2"/>
      <c r="AF74" s="2"/>
      <c r="AG74" s="2"/>
      <c r="AH74" s="2"/>
    </row>
    <row r="75" spans="18:34" ht="12.75">
      <c r="R75" s="6"/>
      <c r="S75" s="6"/>
      <c r="T75" s="6"/>
      <c r="U75" s="6"/>
      <c r="V75" s="21"/>
      <c r="W75" s="6"/>
      <c r="X75" s="21"/>
      <c r="Y75" s="6"/>
      <c r="Z75" s="22"/>
      <c r="AA75" s="6"/>
      <c r="AB75" s="6"/>
      <c r="AC75" s="6"/>
      <c r="AD75" s="20"/>
      <c r="AE75" s="2"/>
      <c r="AF75" s="2"/>
      <c r="AG75" s="2"/>
      <c r="AH75" s="2"/>
    </row>
    <row r="76" spans="18:34" ht="12.75">
      <c r="R76" s="6"/>
      <c r="S76" s="6"/>
      <c r="T76" s="6"/>
      <c r="U76" s="6"/>
      <c r="V76" s="21"/>
      <c r="W76" s="6"/>
      <c r="X76" s="21"/>
      <c r="Y76" s="6"/>
      <c r="Z76" s="22"/>
      <c r="AA76" s="6"/>
      <c r="AB76" s="6"/>
      <c r="AC76" s="6"/>
      <c r="AD76" s="20"/>
      <c r="AE76" s="2"/>
      <c r="AF76" s="2"/>
      <c r="AG76" s="2"/>
      <c r="AH76" s="2"/>
    </row>
    <row r="77" spans="18:34" ht="12.75">
      <c r="R77" s="6"/>
      <c r="S77" s="6"/>
      <c r="T77" s="6"/>
      <c r="U77" s="6"/>
      <c r="V77" s="21"/>
      <c r="W77" s="6"/>
      <c r="X77" s="21"/>
      <c r="Y77" s="6"/>
      <c r="Z77" s="22"/>
      <c r="AA77" s="6"/>
      <c r="AB77" s="6"/>
      <c r="AC77" s="6"/>
      <c r="AD77" s="20"/>
      <c r="AE77" s="2"/>
      <c r="AF77" s="2"/>
      <c r="AG77" s="2"/>
      <c r="AH77" s="2"/>
    </row>
    <row r="78" spans="18:34" ht="12.75">
      <c r="R78" s="6"/>
      <c r="S78" s="6"/>
      <c r="T78" s="6"/>
      <c r="U78" s="6"/>
      <c r="V78" s="21"/>
      <c r="W78" s="6"/>
      <c r="X78" s="21"/>
      <c r="Y78" s="6"/>
      <c r="Z78" s="22"/>
      <c r="AA78" s="6"/>
      <c r="AB78" s="6"/>
      <c r="AC78" s="6"/>
      <c r="AD78" s="20"/>
      <c r="AE78" s="2"/>
      <c r="AF78" s="2"/>
      <c r="AG78" s="2"/>
      <c r="AH78" s="2"/>
    </row>
    <row r="79" spans="18:36" ht="12.75">
      <c r="R79" s="6"/>
      <c r="S79" s="6"/>
      <c r="T79" s="6"/>
      <c r="U79" s="6"/>
      <c r="V79" s="21"/>
      <c r="W79" s="6"/>
      <c r="X79" s="21"/>
      <c r="Y79" s="6"/>
      <c r="Z79" s="22"/>
      <c r="AA79" s="6"/>
      <c r="AB79" s="6"/>
      <c r="AC79" s="6"/>
      <c r="AD79" s="20"/>
      <c r="AE79" s="4"/>
      <c r="AF79" s="4"/>
      <c r="AG79" s="4"/>
      <c r="AH79" s="4"/>
      <c r="AI79" s="4"/>
      <c r="AJ79" s="4"/>
    </row>
    <row r="80" spans="18:36" ht="12.75">
      <c r="R80" s="6"/>
      <c r="S80" s="6"/>
      <c r="T80" s="6"/>
      <c r="U80" s="6"/>
      <c r="V80" s="21"/>
      <c r="W80" s="6"/>
      <c r="X80" s="21"/>
      <c r="Y80" s="6"/>
      <c r="Z80" s="22"/>
      <c r="AA80" s="6"/>
      <c r="AB80" s="6"/>
      <c r="AC80" s="6"/>
      <c r="AD80" s="20"/>
      <c r="AE80" s="4"/>
      <c r="AF80" s="4"/>
      <c r="AG80" s="4"/>
      <c r="AH80" s="4"/>
      <c r="AI80" s="4"/>
      <c r="AJ80" s="4"/>
    </row>
    <row r="81" spans="18:36" ht="12.75">
      <c r="R81" s="23"/>
      <c r="S81" s="23"/>
      <c r="T81" s="23"/>
      <c r="U81" s="23"/>
      <c r="V81" s="24"/>
      <c r="W81" s="15"/>
      <c r="X81" s="24"/>
      <c r="Y81" s="15"/>
      <c r="Z81" s="25"/>
      <c r="AA81" s="15"/>
      <c r="AB81" s="15"/>
      <c r="AC81" s="15"/>
      <c r="AD81" s="26"/>
      <c r="AE81" s="16"/>
      <c r="AF81" s="16"/>
      <c r="AG81" s="16"/>
      <c r="AH81" s="16"/>
      <c r="AI81" s="16"/>
      <c r="AJ81" s="16"/>
    </row>
    <row r="82" spans="18:36" ht="12.75">
      <c r="R82" s="6"/>
      <c r="S82" s="6"/>
      <c r="T82" s="6"/>
      <c r="U82" s="6"/>
      <c r="V82" s="6" t="s">
        <v>0</v>
      </c>
      <c r="W82" s="6" t="s">
        <v>0</v>
      </c>
      <c r="X82" s="6" t="s">
        <v>0</v>
      </c>
      <c r="Y82" s="6"/>
      <c r="Z82" s="6"/>
      <c r="AA82" s="6"/>
      <c r="AB82" s="6"/>
      <c r="AC82" s="6"/>
      <c r="AD82" s="20"/>
      <c r="AE82" s="4"/>
      <c r="AF82" s="4"/>
      <c r="AG82" s="4"/>
      <c r="AH82" s="4"/>
      <c r="AI82" s="4"/>
      <c r="AJ82" s="4"/>
    </row>
    <row r="83" spans="18:36" ht="12.75">
      <c r="R83" s="6"/>
      <c r="S83" s="6"/>
      <c r="T83" s="6"/>
      <c r="U83" s="6"/>
      <c r="V83" s="6"/>
      <c r="W83" s="6"/>
      <c r="X83" s="6"/>
      <c r="Y83" s="6"/>
      <c r="Z83" s="4"/>
      <c r="AA83" s="4"/>
      <c r="AB83" s="4"/>
      <c r="AC83" s="4"/>
      <c r="AD83" s="22"/>
      <c r="AE83" s="4"/>
      <c r="AF83" s="4"/>
      <c r="AG83" s="4"/>
      <c r="AH83" s="4"/>
      <c r="AI83" s="4"/>
      <c r="AJ83" s="4"/>
    </row>
    <row r="84" spans="18:36" ht="12.75">
      <c r="R84" s="6"/>
      <c r="S84" s="6"/>
      <c r="T84" s="6"/>
      <c r="U84" s="6"/>
      <c r="V84" s="6"/>
      <c r="W84" s="6"/>
      <c r="X84" s="6"/>
      <c r="Y84" s="6"/>
      <c r="Z84" s="4"/>
      <c r="AA84" s="4"/>
      <c r="AB84" s="4"/>
      <c r="AC84" s="4"/>
      <c r="AD84" s="22"/>
      <c r="AE84" s="4"/>
      <c r="AF84" s="4"/>
      <c r="AG84" s="4"/>
      <c r="AH84" s="4"/>
      <c r="AI84" s="4"/>
      <c r="AJ84" s="4"/>
    </row>
    <row r="85" spans="18:34" ht="12.75">
      <c r="R85" s="3"/>
      <c r="S85" s="3"/>
      <c r="T85" s="3"/>
      <c r="U85" s="3"/>
      <c r="V85" s="3"/>
      <c r="W85" s="3"/>
      <c r="X85" s="3"/>
      <c r="Y85" s="3"/>
      <c r="AB85" s="2"/>
      <c r="AC85" s="2"/>
      <c r="AD85" s="18"/>
      <c r="AE85" s="2"/>
      <c r="AF85" s="2"/>
      <c r="AG85" s="2"/>
      <c r="AH85" s="2"/>
    </row>
    <row r="86" spans="19:34" ht="12.75">
      <c r="S86" s="3"/>
      <c r="T86" s="3"/>
      <c r="U86" s="3"/>
      <c r="V86" s="3"/>
      <c r="W86" s="3"/>
      <c r="X86" s="3"/>
      <c r="Y86" s="3"/>
      <c r="Z86" s="3"/>
      <c r="AA86" s="3"/>
      <c r="AD86" s="18"/>
      <c r="AE86" s="2"/>
      <c r="AF86" s="2"/>
      <c r="AG86" s="2"/>
      <c r="AH86" s="2"/>
    </row>
    <row r="87" spans="19:34" ht="12.75">
      <c r="S87" s="3"/>
      <c r="T87" s="3"/>
      <c r="U87" s="3"/>
      <c r="V87" s="3"/>
      <c r="W87" s="3"/>
      <c r="X87" s="3"/>
      <c r="Y87" s="3"/>
      <c r="AB87" s="2"/>
      <c r="AC87" s="2"/>
      <c r="AD87" s="18"/>
      <c r="AE87" s="2"/>
      <c r="AF87" s="2"/>
      <c r="AG87" s="2"/>
      <c r="AH87" s="2"/>
    </row>
    <row r="88" spans="19:34" ht="12.75">
      <c r="S88" s="3"/>
      <c r="T88" s="3"/>
      <c r="U88" s="3"/>
      <c r="V88" s="3"/>
      <c r="W88" s="3"/>
      <c r="X88" s="3"/>
      <c r="Y88" s="3"/>
      <c r="AB88" s="2"/>
      <c r="AC88" s="2"/>
      <c r="AD88" s="18"/>
      <c r="AE88" s="2"/>
      <c r="AF88" s="2"/>
      <c r="AG88" s="2"/>
      <c r="AH88" s="2"/>
    </row>
    <row r="89" spans="19:34" ht="12.75">
      <c r="S89" s="3"/>
      <c r="T89" s="3"/>
      <c r="U89" s="3"/>
      <c r="V89" s="3"/>
      <c r="W89" s="3"/>
      <c r="X89" s="3"/>
      <c r="Y89" s="3"/>
      <c r="AB89" s="2"/>
      <c r="AC89" s="2"/>
      <c r="AD89" s="18"/>
      <c r="AE89" s="2"/>
      <c r="AF89" s="2"/>
      <c r="AG89" s="2"/>
      <c r="AH89" s="2"/>
    </row>
    <row r="90" spans="19:34" ht="12.75">
      <c r="S90" s="3"/>
      <c r="T90" s="3"/>
      <c r="U90" s="3"/>
      <c r="V90" s="3"/>
      <c r="W90" s="3"/>
      <c r="X90" s="3"/>
      <c r="Y90" s="3"/>
      <c r="AB90" s="2"/>
      <c r="AC90" s="2"/>
      <c r="AD90" s="18"/>
      <c r="AE90" s="2"/>
      <c r="AF90" s="2"/>
      <c r="AG90" s="2"/>
      <c r="AH90" s="2"/>
    </row>
    <row r="91" spans="19:34" ht="12.75">
      <c r="S91" s="3"/>
      <c r="T91" s="3"/>
      <c r="U91" s="3"/>
      <c r="V91" s="3"/>
      <c r="W91" s="3"/>
      <c r="X91" s="3"/>
      <c r="Y91" s="3"/>
      <c r="AB91" s="2"/>
      <c r="AC91" s="2"/>
      <c r="AD91" s="18"/>
      <c r="AE91" s="2"/>
      <c r="AF91" s="2"/>
      <c r="AG91" s="2"/>
      <c r="AH91" s="2"/>
    </row>
    <row r="92" spans="19:34" ht="12.75">
      <c r="S92" s="3"/>
      <c r="T92" s="3"/>
      <c r="U92" s="3"/>
      <c r="V92" s="3"/>
      <c r="W92" s="3"/>
      <c r="X92" s="3"/>
      <c r="Y92" s="3"/>
      <c r="AB92" s="2"/>
      <c r="AC92" s="2"/>
      <c r="AD92" s="18"/>
      <c r="AE92" s="2"/>
      <c r="AF92" s="2"/>
      <c r="AG92" s="2"/>
      <c r="AH92" s="2"/>
    </row>
    <row r="93" spans="19:34" ht="12.75">
      <c r="S93" s="3"/>
      <c r="T93" s="3"/>
      <c r="U93" s="3"/>
      <c r="V93" s="3"/>
      <c r="W93" s="3"/>
      <c r="X93" s="3"/>
      <c r="Y93" s="3"/>
      <c r="AB93" s="2"/>
      <c r="AC93" s="2"/>
      <c r="AD93" s="18"/>
      <c r="AE93" s="2"/>
      <c r="AF93" s="2"/>
      <c r="AG93" s="2"/>
      <c r="AH93" s="2"/>
    </row>
    <row r="94" spans="19:34" ht="12.75">
      <c r="S94" s="3"/>
      <c r="T94" s="3"/>
      <c r="U94" s="3"/>
      <c r="V94" s="3"/>
      <c r="W94" s="3"/>
      <c r="X94" s="3"/>
      <c r="Y94" s="3"/>
      <c r="AB94" s="2"/>
      <c r="AC94" s="2"/>
      <c r="AD94" s="18"/>
      <c r="AE94" s="2"/>
      <c r="AF94" s="2"/>
      <c r="AG94" s="2"/>
      <c r="AH94" s="2"/>
    </row>
    <row r="95" spans="19:34" ht="12.75">
      <c r="S95" s="3"/>
      <c r="T95" s="3"/>
      <c r="U95" s="3"/>
      <c r="V95" s="3"/>
      <c r="W95" s="3"/>
      <c r="X95" s="3"/>
      <c r="Y95" s="3"/>
      <c r="AB95" s="2"/>
      <c r="AC95" s="2"/>
      <c r="AD95" s="18"/>
      <c r="AE95" s="2"/>
      <c r="AF95" s="2"/>
      <c r="AG95" s="2"/>
      <c r="AH95" s="2"/>
    </row>
    <row r="96" spans="19:34" ht="12.75">
      <c r="S96" s="3"/>
      <c r="T96" s="3"/>
      <c r="U96" s="3"/>
      <c r="V96" s="3"/>
      <c r="W96" s="3"/>
      <c r="X96" s="3"/>
      <c r="Y96" s="3"/>
      <c r="AB96" s="2"/>
      <c r="AC96" s="2"/>
      <c r="AD96" s="18"/>
      <c r="AE96" s="2"/>
      <c r="AF96" s="2"/>
      <c r="AG96" s="2"/>
      <c r="AH96" s="2"/>
    </row>
    <row r="97" spans="19:34" ht="12.75">
      <c r="S97" s="3"/>
      <c r="T97" s="3"/>
      <c r="U97" s="3"/>
      <c r="V97" s="3"/>
      <c r="W97" s="3"/>
      <c r="X97" s="3"/>
      <c r="Y97" s="3"/>
      <c r="AB97" s="2"/>
      <c r="AC97" s="2"/>
      <c r="AD97" s="18"/>
      <c r="AE97" s="2"/>
      <c r="AF97" s="2"/>
      <c r="AG97" s="2"/>
      <c r="AH97" s="2"/>
    </row>
    <row r="98" spans="2:34" ht="12.75">
      <c r="B98" s="1"/>
      <c r="L98" s="4"/>
      <c r="M98" s="6"/>
      <c r="N98" s="6"/>
      <c r="S98" s="3"/>
      <c r="T98" s="3"/>
      <c r="U98" s="3"/>
      <c r="V98" s="3"/>
      <c r="W98" s="3"/>
      <c r="X98" s="3"/>
      <c r="Y98" s="3"/>
      <c r="AB98" s="2"/>
      <c r="AC98" s="2"/>
      <c r="AD98" s="18"/>
      <c r="AE98" s="2"/>
      <c r="AF98" s="2"/>
      <c r="AG98" s="2"/>
      <c r="AH98" s="2"/>
    </row>
    <row r="99" spans="2:34" ht="12.75">
      <c r="B99" s="1"/>
      <c r="L99" s="8"/>
      <c r="S99" s="3"/>
      <c r="T99" s="3"/>
      <c r="U99" s="3"/>
      <c r="V99" s="3"/>
      <c r="W99" s="3"/>
      <c r="X99" s="3"/>
      <c r="Y99" s="3"/>
      <c r="AB99" s="2"/>
      <c r="AC99" s="2"/>
      <c r="AD99" s="18"/>
      <c r="AE99" s="2"/>
      <c r="AF99" s="2"/>
      <c r="AG99" s="2"/>
      <c r="AH99" s="2"/>
    </row>
    <row r="100" spans="2:34" ht="12.75">
      <c r="B100" s="1"/>
      <c r="I100" s="9"/>
      <c r="J100" s="9"/>
      <c r="L100" s="6"/>
      <c r="S100" s="3"/>
      <c r="T100" s="3"/>
      <c r="U100" s="3"/>
      <c r="V100" s="3"/>
      <c r="W100" s="3"/>
      <c r="X100" s="3"/>
      <c r="Y100" s="3"/>
      <c r="AB100" s="2"/>
      <c r="AC100" s="2"/>
      <c r="AD100" s="18"/>
      <c r="AE100" s="2"/>
      <c r="AF100" s="2"/>
      <c r="AG100" s="2"/>
      <c r="AH100" s="2"/>
    </row>
    <row r="101" spans="2:34" ht="12.75">
      <c r="B101" s="1"/>
      <c r="L101" s="6"/>
      <c r="S101" s="3"/>
      <c r="T101" s="3"/>
      <c r="U101" s="3"/>
      <c r="V101" s="3"/>
      <c r="W101" s="3"/>
      <c r="X101" s="3"/>
      <c r="Y101" s="3"/>
      <c r="AB101" s="2"/>
      <c r="AC101" s="2"/>
      <c r="AD101" s="18"/>
      <c r="AE101" s="2"/>
      <c r="AF101" s="2"/>
      <c r="AG101" s="2"/>
      <c r="AH101" s="2"/>
    </row>
    <row r="102" spans="2:34" ht="12.75">
      <c r="B102" s="1"/>
      <c r="S102" s="3"/>
      <c r="T102" s="3"/>
      <c r="U102" s="3"/>
      <c r="V102" s="3"/>
      <c r="W102" s="3"/>
      <c r="X102" s="3"/>
      <c r="Y102" s="3"/>
      <c r="AB102" s="2"/>
      <c r="AC102" s="2"/>
      <c r="AD102" s="18"/>
      <c r="AE102" s="2"/>
      <c r="AF102" s="2"/>
      <c r="AG102" s="2"/>
      <c r="AH102" s="2"/>
    </row>
    <row r="103" spans="2:34" ht="12.75">
      <c r="B103" s="1"/>
      <c r="S103" s="3"/>
      <c r="T103" s="3"/>
      <c r="U103" s="3"/>
      <c r="V103" s="3"/>
      <c r="W103" s="3"/>
      <c r="X103" s="3"/>
      <c r="Y103" s="3"/>
      <c r="AB103" s="2"/>
      <c r="AC103" s="2"/>
      <c r="AD103" s="18"/>
      <c r="AE103" s="2"/>
      <c r="AF103" s="2"/>
      <c r="AG103" s="2"/>
      <c r="AH103" s="2"/>
    </row>
    <row r="104" spans="2:11" ht="12.75">
      <c r="B104" s="1"/>
      <c r="D104" s="4"/>
      <c r="E104" s="4"/>
      <c r="F104" s="4"/>
      <c r="G104" s="4"/>
      <c r="H104" s="4"/>
      <c r="I104" s="4"/>
      <c r="J104" s="4"/>
      <c r="K104" s="4"/>
    </row>
    <row r="105" spans="2:11" ht="12.75">
      <c r="B105" s="1"/>
      <c r="D105" s="4"/>
      <c r="E105" s="4"/>
      <c r="F105" s="4"/>
      <c r="G105" s="4"/>
      <c r="H105" s="4"/>
      <c r="I105" s="4"/>
      <c r="J105" s="4"/>
      <c r="K105" s="4"/>
    </row>
    <row r="106" spans="2:11" ht="12.75">
      <c r="B106" s="1"/>
      <c r="D106" s="4"/>
      <c r="E106" s="4"/>
      <c r="F106" s="4"/>
      <c r="G106" s="4"/>
      <c r="H106" s="4"/>
      <c r="I106" s="4"/>
      <c r="J106" s="4"/>
      <c r="K106" s="4"/>
    </row>
    <row r="107" spans="2:11" ht="12.75">
      <c r="B107" s="1"/>
      <c r="D107" s="4"/>
      <c r="E107" s="4"/>
      <c r="F107" s="4"/>
      <c r="G107" s="4"/>
      <c r="H107" s="4"/>
      <c r="I107" s="4"/>
      <c r="J107" s="4"/>
      <c r="K107" s="4"/>
    </row>
    <row r="108" spans="2:11" ht="12.75">
      <c r="B108" s="1"/>
      <c r="D108" s="4"/>
      <c r="E108" s="4"/>
      <c r="F108" s="4"/>
      <c r="G108" s="4"/>
      <c r="H108" s="4"/>
      <c r="I108" s="4"/>
      <c r="J108" s="4"/>
      <c r="K108" s="4"/>
    </row>
    <row r="109" spans="2:11" ht="12.75">
      <c r="B109" s="1"/>
      <c r="D109" s="4"/>
      <c r="E109" s="4"/>
      <c r="F109" s="4"/>
      <c r="G109" s="4"/>
      <c r="H109" s="4"/>
      <c r="I109" s="4"/>
      <c r="J109" s="4"/>
      <c r="K109" s="4"/>
    </row>
    <row r="110" spans="2:11" ht="12.75">
      <c r="B110" s="1"/>
      <c r="D110" s="4"/>
      <c r="E110" s="4"/>
      <c r="F110" s="4"/>
      <c r="G110" s="4"/>
      <c r="H110" s="4"/>
      <c r="I110" s="4"/>
      <c r="J110" s="4"/>
      <c r="K110" s="4"/>
    </row>
    <row r="111" spans="2:11" ht="12.75">
      <c r="B111" s="1"/>
      <c r="D111" s="4"/>
      <c r="E111" s="4"/>
      <c r="F111" s="4"/>
      <c r="G111" s="4"/>
      <c r="H111" s="4"/>
      <c r="I111" s="4"/>
      <c r="J111" s="4"/>
      <c r="K111" s="4"/>
    </row>
    <row r="112" spans="2:11" ht="12.75">
      <c r="B112" s="1"/>
      <c r="D112" s="4"/>
      <c r="E112" s="4"/>
      <c r="F112" s="4"/>
      <c r="G112" s="4"/>
      <c r="H112" s="4"/>
      <c r="I112" s="4"/>
      <c r="J112" s="4"/>
      <c r="K112" s="4"/>
    </row>
    <row r="113" spans="2:11" ht="12.75">
      <c r="B113" s="1"/>
      <c r="D113" s="4"/>
      <c r="E113" s="4"/>
      <c r="F113" s="4"/>
      <c r="G113" s="4"/>
      <c r="H113" s="4"/>
      <c r="I113" s="4"/>
      <c r="J113" s="4"/>
      <c r="K113" s="4"/>
    </row>
    <row r="114" spans="2:11" ht="12.75">
      <c r="B114" s="1"/>
      <c r="D114" s="4"/>
      <c r="E114" s="4"/>
      <c r="F114" s="4"/>
      <c r="G114" s="4"/>
      <c r="H114" s="4"/>
      <c r="I114" s="4"/>
      <c r="J114" s="4"/>
      <c r="K114" s="4"/>
    </row>
    <row r="115" spans="2:11" ht="12.75">
      <c r="B115" s="1"/>
      <c r="D115" s="4"/>
      <c r="E115" s="4"/>
      <c r="F115" s="4"/>
      <c r="G115" s="4"/>
      <c r="H115" s="4"/>
      <c r="I115" s="4"/>
      <c r="J115" s="4"/>
      <c r="K115" s="4"/>
    </row>
    <row r="116" spans="2:11" ht="12.75">
      <c r="B116" s="1"/>
      <c r="D116" s="4"/>
      <c r="E116" s="4"/>
      <c r="F116" s="4"/>
      <c r="G116" s="4"/>
      <c r="H116" s="4"/>
      <c r="I116" s="4"/>
      <c r="J116" s="4"/>
      <c r="K116" s="4"/>
    </row>
    <row r="117" spans="2:11" ht="12.75">
      <c r="B117" s="1"/>
      <c r="D117" s="4"/>
      <c r="E117" s="4"/>
      <c r="F117" s="4"/>
      <c r="G117" s="4"/>
      <c r="H117" s="4"/>
      <c r="I117" s="4"/>
      <c r="J117" s="4"/>
      <c r="K117" s="4"/>
    </row>
    <row r="118" spans="2:11" ht="12.75">
      <c r="B118" s="1"/>
      <c r="D118" s="4"/>
      <c r="E118" s="4"/>
      <c r="F118" s="4"/>
      <c r="G118" s="4"/>
      <c r="H118" s="4"/>
      <c r="I118" s="4"/>
      <c r="J118" s="4"/>
      <c r="K118" s="4"/>
    </row>
    <row r="119" spans="2:11" ht="12.75">
      <c r="B119" s="1"/>
      <c r="D119" s="4"/>
      <c r="E119" s="4"/>
      <c r="F119" s="4"/>
      <c r="G119" s="4"/>
      <c r="H119" s="4"/>
      <c r="I119" s="4"/>
      <c r="J119" s="4"/>
      <c r="K119" s="4"/>
    </row>
    <row r="120" spans="2:11" ht="12.75">
      <c r="B120" s="1"/>
      <c r="D120" s="4"/>
      <c r="E120" s="4"/>
      <c r="F120" s="4"/>
      <c r="G120" s="4"/>
      <c r="H120" s="4"/>
      <c r="I120" s="4"/>
      <c r="J120" s="4"/>
      <c r="K120" s="4"/>
    </row>
    <row r="121" spans="2:11" ht="12.75">
      <c r="B121" s="1"/>
      <c r="D121" s="4"/>
      <c r="E121" s="4"/>
      <c r="F121" s="4"/>
      <c r="G121" s="4"/>
      <c r="H121" s="4"/>
      <c r="I121" s="4"/>
      <c r="J121" s="4"/>
      <c r="K121" s="4"/>
    </row>
    <row r="122" spans="2:11" ht="12.75">
      <c r="B122" s="1"/>
      <c r="D122" s="4"/>
      <c r="E122" s="4"/>
      <c r="F122" s="4"/>
      <c r="G122" s="4"/>
      <c r="H122" s="4"/>
      <c r="I122" s="4"/>
      <c r="J122" s="4"/>
      <c r="K122" s="4"/>
    </row>
    <row r="123" spans="2:11" ht="12.75">
      <c r="B123" s="1"/>
      <c r="D123" s="4"/>
      <c r="E123" s="4"/>
      <c r="F123" s="4"/>
      <c r="G123" s="4"/>
      <c r="H123" s="4"/>
      <c r="I123" s="4"/>
      <c r="J123" s="4"/>
      <c r="K123" s="4"/>
    </row>
    <row r="124" spans="2:11" ht="12.75">
      <c r="B124" s="1"/>
      <c r="D124" s="4"/>
      <c r="E124" s="4"/>
      <c r="F124" s="4"/>
      <c r="G124" s="4"/>
      <c r="H124" s="4"/>
      <c r="I124" s="4"/>
      <c r="J124" s="4"/>
      <c r="K124" s="4"/>
    </row>
    <row r="125" spans="2:11" ht="12.75">
      <c r="B125" s="1"/>
      <c r="D125" s="4"/>
      <c r="E125" s="4"/>
      <c r="F125" s="4"/>
      <c r="G125" s="4"/>
      <c r="H125" s="4"/>
      <c r="I125" s="4"/>
      <c r="J125" s="4"/>
      <c r="K125" s="4"/>
    </row>
    <row r="126" spans="2:11" ht="12.75">
      <c r="B126" s="1"/>
      <c r="D126" s="4"/>
      <c r="E126" s="4"/>
      <c r="F126" s="4"/>
      <c r="G126" s="4"/>
      <c r="H126" s="4"/>
      <c r="I126" s="4"/>
      <c r="J126" s="4"/>
      <c r="K126" s="4"/>
    </row>
    <row r="127" spans="2:11" ht="12.75">
      <c r="B127" s="1"/>
      <c r="D127" s="4"/>
      <c r="E127" s="4"/>
      <c r="F127" s="4"/>
      <c r="G127" s="4"/>
      <c r="H127" s="4"/>
      <c r="I127" s="4"/>
      <c r="J127" s="4"/>
      <c r="K127" s="4"/>
    </row>
    <row r="128" spans="2:11" ht="12.75">
      <c r="B128" s="1"/>
      <c r="D128" s="4"/>
      <c r="E128" s="4"/>
      <c r="F128" s="4"/>
      <c r="G128" s="4"/>
      <c r="H128" s="4"/>
      <c r="I128" s="4"/>
      <c r="J128" s="4"/>
      <c r="K128" s="4"/>
    </row>
    <row r="129" spans="2:11" ht="12.75">
      <c r="B129" s="1"/>
      <c r="D129" s="4"/>
      <c r="E129" s="4"/>
      <c r="F129" s="4"/>
      <c r="G129" s="4"/>
      <c r="H129" s="4"/>
      <c r="I129" s="4"/>
      <c r="J129" s="4"/>
      <c r="K129" s="4"/>
    </row>
    <row r="130" spans="2:11" ht="12.75">
      <c r="B130" s="1"/>
      <c r="D130" s="4"/>
      <c r="E130" s="4"/>
      <c r="F130" s="4"/>
      <c r="G130" s="4"/>
      <c r="H130" s="4"/>
      <c r="I130" s="4"/>
      <c r="J130" s="4"/>
      <c r="K130" s="4"/>
    </row>
    <row r="131" spans="2:11" ht="12.75">
      <c r="B131" s="1"/>
      <c r="D131" s="4"/>
      <c r="E131" s="4"/>
      <c r="F131" s="4"/>
      <c r="G131" s="4"/>
      <c r="H131" s="4"/>
      <c r="I131" s="4"/>
      <c r="J131" s="4"/>
      <c r="K131" s="4"/>
    </row>
    <row r="132" spans="2:11" ht="12.75">
      <c r="B132" s="1"/>
      <c r="D132" s="4"/>
      <c r="E132" s="4"/>
      <c r="F132" s="4"/>
      <c r="G132" s="4"/>
      <c r="H132" s="4"/>
      <c r="I132" s="4"/>
      <c r="J132" s="4"/>
      <c r="K132" s="4"/>
    </row>
    <row r="133" spans="2:11" ht="12.75">
      <c r="B133" s="1"/>
      <c r="D133" s="4"/>
      <c r="E133" s="4"/>
      <c r="F133" s="4"/>
      <c r="G133" s="4"/>
      <c r="H133" s="4"/>
      <c r="I133" s="4"/>
      <c r="J133" s="4"/>
      <c r="K133" s="4"/>
    </row>
    <row r="134" spans="2:11" ht="12.75">
      <c r="B134" s="1"/>
      <c r="D134" s="4"/>
      <c r="E134" s="4"/>
      <c r="F134" s="4"/>
      <c r="G134" s="4"/>
      <c r="H134" s="4"/>
      <c r="I134" s="4"/>
      <c r="J134" s="4"/>
      <c r="K134" s="4"/>
    </row>
    <row r="135" spans="2:11" ht="12.75">
      <c r="B135" s="1"/>
      <c r="D135" s="4"/>
      <c r="E135" s="4"/>
      <c r="F135" s="4"/>
      <c r="G135" s="4"/>
      <c r="H135" s="4"/>
      <c r="I135" s="4"/>
      <c r="J135" s="4"/>
      <c r="K135" s="4"/>
    </row>
    <row r="136" spans="2:11" ht="12.75">
      <c r="B136" s="1"/>
      <c r="D136" s="4"/>
      <c r="E136" s="4"/>
      <c r="F136" s="4"/>
      <c r="G136" s="4"/>
      <c r="H136" s="4"/>
      <c r="I136" s="4"/>
      <c r="J136" s="4"/>
      <c r="K136" s="4"/>
    </row>
    <row r="137" spans="2:11" ht="12.75">
      <c r="B137" s="1"/>
      <c r="D137" s="4"/>
      <c r="E137" s="4"/>
      <c r="F137" s="4"/>
      <c r="G137" s="4"/>
      <c r="H137" s="4"/>
      <c r="I137" s="4"/>
      <c r="J137" s="4"/>
      <c r="K137" s="4"/>
    </row>
    <row r="138" spans="2:11" ht="12.75">
      <c r="B138" s="1"/>
      <c r="D138" s="4"/>
      <c r="E138" s="4"/>
      <c r="F138" s="4"/>
      <c r="G138" s="4"/>
      <c r="H138" s="4"/>
      <c r="I138" s="4"/>
      <c r="J138" s="4"/>
      <c r="K138" s="4"/>
    </row>
    <row r="139" spans="2:11" ht="12.75">
      <c r="B139" s="1"/>
      <c r="D139" s="4"/>
      <c r="E139" s="4"/>
      <c r="F139" s="4"/>
      <c r="G139" s="4"/>
      <c r="H139" s="4"/>
      <c r="I139" s="4"/>
      <c r="J139" s="4"/>
      <c r="K139" s="4"/>
    </row>
    <row r="140" spans="2:11" ht="12.75">
      <c r="B140" s="1"/>
      <c r="D140" s="4"/>
      <c r="E140" s="4"/>
      <c r="F140" s="4"/>
      <c r="G140" s="4"/>
      <c r="H140" s="4"/>
      <c r="I140" s="4"/>
      <c r="J140" s="4"/>
      <c r="K140" s="4"/>
    </row>
    <row r="141" spans="2:11" ht="12.75">
      <c r="B141" s="1"/>
      <c r="D141" s="4"/>
      <c r="E141" s="4"/>
      <c r="F141" s="4"/>
      <c r="G141" s="4"/>
      <c r="H141" s="4"/>
      <c r="I141" s="4"/>
      <c r="J141" s="4"/>
      <c r="K141" s="4"/>
    </row>
    <row r="142" spans="2:11" ht="12.75">
      <c r="B142" s="1"/>
      <c r="D142" s="4"/>
      <c r="E142" s="4"/>
      <c r="F142" s="4"/>
      <c r="G142" s="4"/>
      <c r="H142" s="4"/>
      <c r="I142" s="4"/>
      <c r="J142" s="4"/>
      <c r="K142" s="4"/>
    </row>
    <row r="143" spans="2:11" ht="12.75">
      <c r="B143" s="1"/>
      <c r="D143" s="4"/>
      <c r="E143" s="4"/>
      <c r="F143" s="4"/>
      <c r="G143" s="4"/>
      <c r="H143" s="4"/>
      <c r="I143" s="4"/>
      <c r="J143" s="4"/>
      <c r="K143" s="4"/>
    </row>
    <row r="144" spans="2:11" ht="12.75">
      <c r="B144" s="1"/>
      <c r="D144" s="4"/>
      <c r="E144" s="4"/>
      <c r="F144" s="4"/>
      <c r="G144" s="4"/>
      <c r="H144" s="4"/>
      <c r="I144" s="4"/>
      <c r="J144" s="4"/>
      <c r="K144" s="4"/>
    </row>
    <row r="145" spans="2:11" ht="12.75">
      <c r="B145" s="1"/>
      <c r="D145" s="4"/>
      <c r="E145" s="4"/>
      <c r="F145" s="4"/>
      <c r="G145" s="4"/>
      <c r="H145" s="4"/>
      <c r="I145" s="4"/>
      <c r="J145" s="4"/>
      <c r="K145" s="4"/>
    </row>
    <row r="146" spans="2:11" ht="12.75">
      <c r="B146" s="1"/>
      <c r="D146" s="4"/>
      <c r="E146" s="4"/>
      <c r="F146" s="4"/>
      <c r="G146" s="4"/>
      <c r="H146" s="4"/>
      <c r="I146" s="4"/>
      <c r="J146" s="4"/>
      <c r="K146" s="4"/>
    </row>
    <row r="147" spans="2:11" ht="12.75">
      <c r="B147" s="1"/>
      <c r="D147" s="4"/>
      <c r="E147" s="4"/>
      <c r="F147" s="4"/>
      <c r="G147" s="4"/>
      <c r="H147" s="4"/>
      <c r="I147" s="4"/>
      <c r="J147" s="4"/>
      <c r="K147" s="4"/>
    </row>
    <row r="148" spans="2:11" ht="12.75">
      <c r="B148" s="1"/>
      <c r="D148" s="4"/>
      <c r="E148" s="4"/>
      <c r="F148" s="4"/>
      <c r="G148" s="4"/>
      <c r="H148" s="4"/>
      <c r="I148" s="4"/>
      <c r="J148" s="4"/>
      <c r="K148" s="4"/>
    </row>
    <row r="149" spans="2:11" ht="12.75">
      <c r="B149" s="1"/>
      <c r="D149" s="4"/>
      <c r="E149" s="4"/>
      <c r="F149" s="4"/>
      <c r="G149" s="4"/>
      <c r="H149" s="4"/>
      <c r="I149" s="4"/>
      <c r="J149" s="4"/>
      <c r="K149" s="4"/>
    </row>
    <row r="150" spans="2:11" ht="12.75">
      <c r="B150" s="1"/>
      <c r="D150" s="4"/>
      <c r="E150" s="4"/>
      <c r="F150" s="4"/>
      <c r="G150" s="4"/>
      <c r="H150" s="4"/>
      <c r="I150" s="4"/>
      <c r="J150" s="4"/>
      <c r="K150" s="4"/>
    </row>
    <row r="151" spans="2:11" ht="12.75">
      <c r="B151" s="1"/>
      <c r="D151" s="4"/>
      <c r="E151" s="4"/>
      <c r="F151" s="4"/>
      <c r="G151" s="4"/>
      <c r="H151" s="4"/>
      <c r="I151" s="4"/>
      <c r="J151" s="4"/>
      <c r="K151" s="4"/>
    </row>
    <row r="152" spans="2:11" ht="12.75">
      <c r="B152" s="1"/>
      <c r="D152" s="4"/>
      <c r="E152" s="4"/>
      <c r="F152" s="4"/>
      <c r="G152" s="4"/>
      <c r="H152" s="4"/>
      <c r="I152" s="4"/>
      <c r="J152" s="4"/>
      <c r="K152" s="4"/>
    </row>
    <row r="153" spans="2:11" ht="12.75">
      <c r="B153" s="1"/>
      <c r="D153" s="4"/>
      <c r="E153" s="4"/>
      <c r="F153" s="4"/>
      <c r="G153" s="4"/>
      <c r="H153" s="4"/>
      <c r="I153" s="4"/>
      <c r="J153" s="4"/>
      <c r="K153" s="4"/>
    </row>
    <row r="154" spans="2:11" ht="12.75">
      <c r="B154" s="1"/>
      <c r="D154" s="4"/>
      <c r="E154" s="4"/>
      <c r="F154" s="4"/>
      <c r="G154" s="4"/>
      <c r="H154" s="4"/>
      <c r="I154" s="4"/>
      <c r="J154" s="4"/>
      <c r="K154" s="4"/>
    </row>
    <row r="155" spans="2:11" ht="12.75">
      <c r="B155" s="1"/>
      <c r="D155" s="4"/>
      <c r="E155" s="4"/>
      <c r="F155" s="4"/>
      <c r="G155" s="4"/>
      <c r="H155" s="4"/>
      <c r="I155" s="4"/>
      <c r="J155" s="4"/>
      <c r="K155" s="4"/>
    </row>
    <row r="156" spans="2:11" ht="12.75">
      <c r="B156" s="1"/>
      <c r="D156" s="4"/>
      <c r="E156" s="4"/>
      <c r="F156" s="4"/>
      <c r="G156" s="4"/>
      <c r="H156" s="4"/>
      <c r="I156" s="4"/>
      <c r="J156" s="4"/>
      <c r="K156" s="4"/>
    </row>
    <row r="157" spans="2:11" ht="12.75">
      <c r="B157" s="1"/>
      <c r="D157" s="4"/>
      <c r="E157" s="4"/>
      <c r="F157" s="4"/>
      <c r="G157" s="4"/>
      <c r="H157" s="4"/>
      <c r="I157" s="4"/>
      <c r="J157" s="4"/>
      <c r="K157" s="4"/>
    </row>
    <row r="158" spans="2:11" ht="12.75">
      <c r="B158" s="1"/>
      <c r="D158" s="4"/>
      <c r="E158" s="4"/>
      <c r="F158" s="4"/>
      <c r="G158" s="4"/>
      <c r="H158" s="4"/>
      <c r="I158" s="4"/>
      <c r="J158" s="4"/>
      <c r="K158" s="4"/>
    </row>
    <row r="247" spans="2:11" ht="12.75">
      <c r="B247" s="1"/>
      <c r="D247" s="4"/>
      <c r="E247" s="4"/>
      <c r="F247" s="4"/>
      <c r="G247" s="4"/>
      <c r="H247" s="4"/>
      <c r="I247" s="4"/>
      <c r="J247" s="4"/>
      <c r="K247" s="4"/>
    </row>
    <row r="248" spans="2:11" ht="12.75">
      <c r="B248" s="1"/>
      <c r="D248" s="4"/>
      <c r="E248" s="4"/>
      <c r="F248" s="4"/>
      <c r="G248" s="4"/>
      <c r="H248" s="4"/>
      <c r="I248" s="4"/>
      <c r="J248" s="4"/>
      <c r="K248" s="4"/>
    </row>
    <row r="249" spans="2:11" ht="12.75">
      <c r="B249" s="1"/>
      <c r="D249" s="4"/>
      <c r="E249" s="4"/>
      <c r="F249" s="4"/>
      <c r="G249" s="4"/>
      <c r="H249" s="4"/>
      <c r="I249" s="4"/>
      <c r="J249" s="4"/>
      <c r="K249" s="4"/>
    </row>
    <row r="250" spans="2:11" ht="12.75">
      <c r="B250" s="1"/>
      <c r="D250" s="4"/>
      <c r="E250" s="4"/>
      <c r="F250" s="4"/>
      <c r="G250" s="4"/>
      <c r="H250" s="4"/>
      <c r="I250" s="4"/>
      <c r="J250" s="4"/>
      <c r="K250" s="4"/>
    </row>
    <row r="251" spans="2:11" ht="12.75">
      <c r="B251" s="1"/>
      <c r="D251" s="4"/>
      <c r="E251" s="4"/>
      <c r="F251" s="4"/>
      <c r="G251" s="4"/>
      <c r="H251" s="4"/>
      <c r="I251" s="4"/>
      <c r="J251" s="4"/>
      <c r="K251" s="4"/>
    </row>
    <row r="252" spans="2:11" ht="12.75">
      <c r="B252" s="1"/>
      <c r="D252" s="4"/>
      <c r="E252" s="4"/>
      <c r="F252" s="4"/>
      <c r="G252" s="4"/>
      <c r="H252" s="4"/>
      <c r="I252" s="4"/>
      <c r="J252" s="4"/>
      <c r="K252" s="4"/>
    </row>
    <row r="253" spans="2:11" ht="12.75">
      <c r="B253" s="1"/>
      <c r="D253" s="4"/>
      <c r="E253" s="4"/>
      <c r="F253" s="4"/>
      <c r="G253" s="4"/>
      <c r="H253" s="4"/>
      <c r="I253" s="4"/>
      <c r="J253" s="4"/>
      <c r="K253" s="4"/>
    </row>
    <row r="254" spans="2:11" ht="12.75">
      <c r="B254" s="1"/>
      <c r="D254" s="4"/>
      <c r="E254" s="4"/>
      <c r="F254" s="4"/>
      <c r="G254" s="4"/>
      <c r="H254" s="4"/>
      <c r="I254" s="4"/>
      <c r="J254" s="4"/>
      <c r="K254" s="4"/>
    </row>
    <row r="255" spans="2:11" ht="12.75">
      <c r="B255" s="1"/>
      <c r="D255" s="4"/>
      <c r="E255" s="4"/>
      <c r="F255" s="4"/>
      <c r="G255" s="4"/>
      <c r="H255" s="4"/>
      <c r="I255" s="4"/>
      <c r="J255" s="4"/>
      <c r="K255" s="4"/>
    </row>
    <row r="256" spans="2:11" ht="12.75">
      <c r="B256" s="1"/>
      <c r="D256" s="4"/>
      <c r="E256" s="4"/>
      <c r="F256" s="4"/>
      <c r="G256" s="4"/>
      <c r="H256" s="4"/>
      <c r="I256" s="4"/>
      <c r="J256" s="4"/>
      <c r="K256" s="4"/>
    </row>
    <row r="257" spans="2:11" ht="12.75">
      <c r="B257" s="1"/>
      <c r="D257" s="4"/>
      <c r="E257" s="4"/>
      <c r="F257" s="4"/>
      <c r="G257" s="4"/>
      <c r="H257" s="4"/>
      <c r="I257" s="4"/>
      <c r="J257" s="4"/>
      <c r="K257" s="4"/>
    </row>
    <row r="258" spans="2:11" ht="12.75">
      <c r="B258" s="1"/>
      <c r="D258" s="4"/>
      <c r="E258" s="4"/>
      <c r="F258" s="4"/>
      <c r="G258" s="4"/>
      <c r="H258" s="4"/>
      <c r="I258" s="4"/>
      <c r="J258" s="4"/>
      <c r="K258" s="4"/>
    </row>
    <row r="259" spans="2:11" ht="12.75">
      <c r="B259" s="1"/>
      <c r="D259" s="4"/>
      <c r="E259" s="4"/>
      <c r="F259" s="4"/>
      <c r="G259" s="4"/>
      <c r="H259" s="4"/>
      <c r="I259" s="4"/>
      <c r="J259" s="4"/>
      <c r="K259" s="4"/>
    </row>
    <row r="260" spans="2:11" ht="12.75">
      <c r="B260" s="1"/>
      <c r="D260" s="4"/>
      <c r="E260" s="4"/>
      <c r="F260" s="4"/>
      <c r="G260" s="4"/>
      <c r="H260" s="4"/>
      <c r="I260" s="4"/>
      <c r="J260" s="4"/>
      <c r="K260" s="4"/>
    </row>
    <row r="261" spans="2:11" ht="12.75">
      <c r="B261" s="1"/>
      <c r="D261" s="4"/>
      <c r="E261" s="4"/>
      <c r="F261" s="4"/>
      <c r="G261" s="4"/>
      <c r="H261" s="4"/>
      <c r="I261" s="4"/>
      <c r="J261" s="4"/>
      <c r="K261" s="4"/>
    </row>
    <row r="262" spans="2:11" ht="12.75">
      <c r="B262" s="1"/>
      <c r="D262" s="4"/>
      <c r="E262" s="4"/>
      <c r="F262" s="4"/>
      <c r="G262" s="4"/>
      <c r="H262" s="4"/>
      <c r="I262" s="4"/>
      <c r="J262" s="4"/>
      <c r="K262" s="4"/>
    </row>
    <row r="263" spans="2:11" ht="12.75">
      <c r="B263" s="1"/>
      <c r="D263" s="4"/>
      <c r="E263" s="4"/>
      <c r="F263" s="4"/>
      <c r="G263" s="4"/>
      <c r="H263" s="4"/>
      <c r="I263" s="4"/>
      <c r="J263" s="4"/>
      <c r="K263" s="4"/>
    </row>
    <row r="264" spans="2:11" ht="12.75">
      <c r="B264" s="1"/>
      <c r="D264" s="4"/>
      <c r="E264" s="4"/>
      <c r="F264" s="4"/>
      <c r="G264" s="4"/>
      <c r="H264" s="4"/>
      <c r="I264" s="4"/>
      <c r="J264" s="4"/>
      <c r="K264" s="4"/>
    </row>
    <row r="265" spans="2:11" ht="12.75">
      <c r="B265" s="1"/>
      <c r="D265" s="4"/>
      <c r="E265" s="4"/>
      <c r="F265" s="4"/>
      <c r="G265" s="4"/>
      <c r="H265" s="4"/>
      <c r="I265" s="4"/>
      <c r="J265" s="4"/>
      <c r="K265" s="4"/>
    </row>
    <row r="266" spans="2:11" ht="12.75">
      <c r="B266" s="1"/>
      <c r="D266" s="4"/>
      <c r="E266" s="4"/>
      <c r="F266" s="4"/>
      <c r="G266" s="4"/>
      <c r="H266" s="4"/>
      <c r="I266" s="4"/>
      <c r="J266" s="4"/>
      <c r="K266" s="4"/>
    </row>
    <row r="267" spans="2:11" ht="12.75">
      <c r="B267" s="1"/>
      <c r="D267" s="4"/>
      <c r="E267" s="4"/>
      <c r="F267" s="4"/>
      <c r="G267" s="4"/>
      <c r="H267" s="4"/>
      <c r="I267" s="4"/>
      <c r="J267" s="4"/>
      <c r="K267" s="4"/>
    </row>
    <row r="268" spans="2:11" ht="12.75">
      <c r="B268" s="1"/>
      <c r="D268" s="4"/>
      <c r="E268" s="4"/>
      <c r="F268" s="4"/>
      <c r="G268" s="4"/>
      <c r="H268" s="4"/>
      <c r="I268" s="4"/>
      <c r="J268" s="4"/>
      <c r="K268" s="4"/>
    </row>
    <row r="269" spans="2:11" ht="12.75">
      <c r="B269" s="1"/>
      <c r="D269" s="4"/>
      <c r="E269" s="4"/>
      <c r="F269" s="4"/>
      <c r="G269" s="4"/>
      <c r="H269" s="4"/>
      <c r="I269" s="4"/>
      <c r="J269" s="4"/>
      <c r="K269" s="4"/>
    </row>
    <row r="270" spans="2:11" ht="12.75">
      <c r="B270" s="1"/>
      <c r="D270" s="4"/>
      <c r="E270" s="4"/>
      <c r="F270" s="4"/>
      <c r="G270" s="4"/>
      <c r="H270" s="4"/>
      <c r="I270" s="4"/>
      <c r="J270" s="4"/>
      <c r="K270" s="4"/>
    </row>
    <row r="271" spans="2:11" ht="12.75">
      <c r="B271" s="1"/>
      <c r="D271" s="4"/>
      <c r="E271" s="4"/>
      <c r="F271" s="4"/>
      <c r="G271" s="4"/>
      <c r="H271" s="4"/>
      <c r="I271" s="4"/>
      <c r="J271" s="4"/>
      <c r="K271" s="4"/>
    </row>
    <row r="272" spans="2:11" ht="12.75">
      <c r="B272" s="1"/>
      <c r="D272" s="4"/>
      <c r="E272" s="4"/>
      <c r="F272" s="4"/>
      <c r="G272" s="4"/>
      <c r="H272" s="4"/>
      <c r="I272" s="4"/>
      <c r="J272" s="4"/>
      <c r="K272" s="4"/>
    </row>
    <row r="273" spans="2:11" ht="12.75">
      <c r="B273" s="1"/>
      <c r="D273" s="4"/>
      <c r="E273" s="4"/>
      <c r="F273" s="4"/>
      <c r="G273" s="4"/>
      <c r="H273" s="4"/>
      <c r="I273" s="4"/>
      <c r="J273" s="4"/>
      <c r="K273" s="4"/>
    </row>
    <row r="274" spans="2:11" ht="12.75">
      <c r="B274" s="1"/>
      <c r="D274" s="4"/>
      <c r="E274" s="4"/>
      <c r="F274" s="4"/>
      <c r="G274" s="4"/>
      <c r="H274" s="4"/>
      <c r="I274" s="4"/>
      <c r="J274" s="4"/>
      <c r="K274" s="4"/>
    </row>
    <row r="275" spans="2:11" ht="12.75">
      <c r="B275" s="1"/>
      <c r="D275" s="4"/>
      <c r="E275" s="4"/>
      <c r="F275" s="4"/>
      <c r="G275" s="4"/>
      <c r="H275" s="4"/>
      <c r="I275" s="4"/>
      <c r="J275" s="4"/>
      <c r="K275" s="4"/>
    </row>
    <row r="276" spans="2:11" ht="12.75">
      <c r="B276" s="1"/>
      <c r="D276" s="4"/>
      <c r="E276" s="4"/>
      <c r="F276" s="4"/>
      <c r="G276" s="4"/>
      <c r="H276" s="4"/>
      <c r="I276" s="4"/>
      <c r="J276" s="4"/>
      <c r="K276" s="4"/>
    </row>
    <row r="277" spans="2:11" ht="12.75">
      <c r="B277" s="1"/>
      <c r="D277" s="4"/>
      <c r="E277" s="4"/>
      <c r="F277" s="4"/>
      <c r="G277" s="4"/>
      <c r="H277" s="4"/>
      <c r="I277" s="4"/>
      <c r="J277" s="4"/>
      <c r="K277" s="4"/>
    </row>
    <row r="278" spans="2:11" ht="12.75">
      <c r="B278" s="1"/>
      <c r="D278" s="4"/>
      <c r="E278" s="4"/>
      <c r="F278" s="4"/>
      <c r="G278" s="4"/>
      <c r="H278" s="4"/>
      <c r="I278" s="4"/>
      <c r="J278" s="4"/>
      <c r="K278" s="4"/>
    </row>
    <row r="279" spans="2:11" ht="12.75">
      <c r="B279" s="1"/>
      <c r="D279" s="4"/>
      <c r="E279" s="4"/>
      <c r="F279" s="4"/>
      <c r="G279" s="4"/>
      <c r="H279" s="4"/>
      <c r="I279" s="4"/>
      <c r="J279" s="4"/>
      <c r="K279" s="4"/>
    </row>
    <row r="280" spans="2:11" ht="12.75">
      <c r="B280" s="1"/>
      <c r="D280" s="4"/>
      <c r="E280" s="4"/>
      <c r="F280" s="4"/>
      <c r="G280" s="4"/>
      <c r="H280" s="4"/>
      <c r="I280" s="4"/>
      <c r="J280" s="4"/>
      <c r="K280" s="4"/>
    </row>
    <row r="281" spans="2:11" ht="12.75">
      <c r="B281" s="1"/>
      <c r="D281" s="4"/>
      <c r="E281" s="4"/>
      <c r="F281" s="4"/>
      <c r="G281" s="4"/>
      <c r="H281" s="4"/>
      <c r="I281" s="4"/>
      <c r="J281" s="4"/>
      <c r="K281" s="4"/>
    </row>
    <row r="282" spans="2:11" ht="12.75">
      <c r="B282" s="1"/>
      <c r="D282" s="4"/>
      <c r="E282" s="4"/>
      <c r="F282" s="4"/>
      <c r="G282" s="4"/>
      <c r="H282" s="4"/>
      <c r="I282" s="4"/>
      <c r="J282" s="4"/>
      <c r="K282" s="4"/>
    </row>
    <row r="283" spans="2:11" ht="12.75">
      <c r="B283" s="1"/>
      <c r="D283" s="4"/>
      <c r="E283" s="4"/>
      <c r="F283" s="4"/>
      <c r="G283" s="4"/>
      <c r="H283" s="4"/>
      <c r="I283" s="4"/>
      <c r="J283" s="4"/>
      <c r="K283" s="4"/>
    </row>
    <row r="284" spans="2:11" ht="12.75">
      <c r="B284" s="1"/>
      <c r="D284" s="4"/>
      <c r="E284" s="4"/>
      <c r="F284" s="4"/>
      <c r="G284" s="4"/>
      <c r="H284" s="4"/>
      <c r="I284" s="4"/>
      <c r="J284" s="4"/>
      <c r="K284" s="4"/>
    </row>
    <row r="285" spans="2:11" ht="12.75">
      <c r="B285" s="1"/>
      <c r="D285" s="4"/>
      <c r="E285" s="4"/>
      <c r="F285" s="4"/>
      <c r="G285" s="4"/>
      <c r="H285" s="4"/>
      <c r="I285" s="4"/>
      <c r="J285" s="4"/>
      <c r="K285" s="4"/>
    </row>
    <row r="286" spans="2:11" ht="12.75">
      <c r="B286" s="1"/>
      <c r="D286" s="4"/>
      <c r="E286" s="4"/>
      <c r="F286" s="4"/>
      <c r="G286" s="4"/>
      <c r="H286" s="4"/>
      <c r="I286" s="4"/>
      <c r="J286" s="4"/>
      <c r="K286" s="4"/>
    </row>
    <row r="287" spans="2:11" ht="12.75">
      <c r="B287" s="1"/>
      <c r="D287" s="4"/>
      <c r="E287" s="4"/>
      <c r="F287" s="4"/>
      <c r="G287" s="4"/>
      <c r="H287" s="4"/>
      <c r="I287" s="4"/>
      <c r="J287" s="4"/>
      <c r="K287" s="4"/>
    </row>
    <row r="288" spans="2:11" ht="12.75">
      <c r="B288" s="1"/>
      <c r="D288" s="4"/>
      <c r="E288" s="4"/>
      <c r="F288" s="4"/>
      <c r="G288" s="4"/>
      <c r="H288" s="4"/>
      <c r="I288" s="4"/>
      <c r="J288" s="4"/>
      <c r="K288" s="4"/>
    </row>
    <row r="289" spans="2:11" ht="12.75">
      <c r="B289" s="1"/>
      <c r="D289" s="4"/>
      <c r="E289" s="4"/>
      <c r="F289" s="4"/>
      <c r="G289" s="4"/>
      <c r="H289" s="4"/>
      <c r="I289" s="4"/>
      <c r="J289" s="4"/>
      <c r="K289" s="4"/>
    </row>
    <row r="290" spans="2:11" ht="12.75">
      <c r="B290" s="1"/>
      <c r="D290" s="4"/>
      <c r="E290" s="4"/>
      <c r="F290" s="4"/>
      <c r="G290" s="4"/>
      <c r="H290" s="4"/>
      <c r="I290" s="4"/>
      <c r="J290" s="4"/>
      <c r="K290" s="4"/>
    </row>
    <row r="291" spans="2:11" ht="12.75">
      <c r="B291" s="1"/>
      <c r="D291" s="4"/>
      <c r="E291" s="4"/>
      <c r="F291" s="4"/>
      <c r="G291" s="4"/>
      <c r="H291" s="4"/>
      <c r="I291" s="4"/>
      <c r="J291" s="4"/>
      <c r="K291" s="4"/>
    </row>
    <row r="292" spans="2:11" ht="12.75">
      <c r="B292" s="1"/>
      <c r="D292" s="4"/>
      <c r="E292" s="4"/>
      <c r="F292" s="4"/>
      <c r="G292" s="4"/>
      <c r="H292" s="4"/>
      <c r="I292" s="4"/>
      <c r="J292" s="4"/>
      <c r="K292" s="4"/>
    </row>
    <row r="293" spans="2:11" ht="12.75">
      <c r="B293" s="1"/>
      <c r="D293" s="4"/>
      <c r="E293" s="4"/>
      <c r="F293" s="4"/>
      <c r="G293" s="4"/>
      <c r="H293" s="4"/>
      <c r="I293" s="4"/>
      <c r="J293" s="4"/>
      <c r="K293" s="4"/>
    </row>
    <row r="294" spans="2:11" ht="12.75">
      <c r="B294" s="1"/>
      <c r="D294" s="4"/>
      <c r="E294" s="4"/>
      <c r="F294" s="4"/>
      <c r="G294" s="4"/>
      <c r="H294" s="4"/>
      <c r="I294" s="4"/>
      <c r="J294" s="4"/>
      <c r="K294" s="4"/>
    </row>
    <row r="295" spans="2:11" ht="12.75">
      <c r="B295" s="1"/>
      <c r="D295" s="4"/>
      <c r="E295" s="4"/>
      <c r="F295" s="4"/>
      <c r="G295" s="4"/>
      <c r="H295" s="4"/>
      <c r="I295" s="4"/>
      <c r="J295" s="4"/>
      <c r="K295" s="4"/>
    </row>
    <row r="296" spans="2:11" ht="12.75">
      <c r="B296" s="1"/>
      <c r="D296" s="4"/>
      <c r="E296" s="4"/>
      <c r="F296" s="4"/>
      <c r="G296" s="4"/>
      <c r="H296" s="4"/>
      <c r="I296" s="4"/>
      <c r="J296" s="4"/>
      <c r="K296" s="4"/>
    </row>
    <row r="297" spans="2:11" ht="12.75">
      <c r="B297" s="1"/>
      <c r="D297" s="4"/>
      <c r="E297" s="4"/>
      <c r="F297" s="4"/>
      <c r="G297" s="4"/>
      <c r="H297" s="4"/>
      <c r="I297" s="4"/>
      <c r="J297" s="4"/>
      <c r="K297" s="4"/>
    </row>
    <row r="298" spans="2:11" ht="12.75">
      <c r="B298" s="1"/>
      <c r="D298" s="4"/>
      <c r="E298" s="4"/>
      <c r="F298" s="4"/>
      <c r="G298" s="4"/>
      <c r="H298" s="4"/>
      <c r="I298" s="4"/>
      <c r="J298" s="4"/>
      <c r="K298" s="4"/>
    </row>
    <row r="299" spans="2:11" ht="12.75">
      <c r="B299" s="1"/>
      <c r="D299" s="4"/>
      <c r="E299" s="4"/>
      <c r="F299" s="4"/>
      <c r="G299" s="4"/>
      <c r="H299" s="4"/>
      <c r="I299" s="4"/>
      <c r="J299" s="4"/>
      <c r="K299" s="4"/>
    </row>
    <row r="300" spans="2:11" ht="12.75">
      <c r="B300" s="1"/>
      <c r="D300" s="4"/>
      <c r="E300" s="4"/>
      <c r="F300" s="4"/>
      <c r="G300" s="4"/>
      <c r="H300" s="4"/>
      <c r="I300" s="4"/>
      <c r="J300" s="4"/>
      <c r="K300" s="4"/>
    </row>
    <row r="301" spans="2:11" ht="12.75">
      <c r="B301" s="1"/>
      <c r="D301" s="4"/>
      <c r="E301" s="4"/>
      <c r="F301" s="4"/>
      <c r="G301" s="4"/>
      <c r="H301" s="4"/>
      <c r="I301" s="4"/>
      <c r="J301" s="4"/>
      <c r="K301" s="4"/>
    </row>
    <row r="302" spans="2:11" ht="12.75">
      <c r="B302" s="1"/>
      <c r="D302" s="4"/>
      <c r="E302" s="4"/>
      <c r="F302" s="4"/>
      <c r="G302" s="4"/>
      <c r="H302" s="4"/>
      <c r="I302" s="4"/>
      <c r="J302" s="4"/>
      <c r="K302" s="4"/>
    </row>
    <row r="303" spans="2:11" ht="12.75">
      <c r="B303" s="1"/>
      <c r="D303" s="4"/>
      <c r="E303" s="4"/>
      <c r="F303" s="4"/>
      <c r="G303" s="4"/>
      <c r="H303" s="4"/>
      <c r="I303" s="4"/>
      <c r="J303" s="4"/>
      <c r="K303" s="4"/>
    </row>
    <row r="304" spans="2:11" ht="12.75">
      <c r="B304" s="1"/>
      <c r="D304" s="4"/>
      <c r="E304" s="4"/>
      <c r="F304" s="4"/>
      <c r="G304" s="4"/>
      <c r="H304" s="4"/>
      <c r="I304" s="4"/>
      <c r="J304" s="4"/>
      <c r="K304" s="4"/>
    </row>
    <row r="305" spans="2:11" ht="12.75">
      <c r="B305" s="1"/>
      <c r="D305" s="4"/>
      <c r="E305" s="4"/>
      <c r="F305" s="4"/>
      <c r="G305" s="4"/>
      <c r="H305" s="4"/>
      <c r="I305" s="4"/>
      <c r="J305" s="4"/>
      <c r="K305" s="4"/>
    </row>
    <row r="306" spans="2:11" ht="12.75">
      <c r="B306" s="1"/>
      <c r="D306" s="4"/>
      <c r="E306" s="4"/>
      <c r="F306" s="4"/>
      <c r="G306" s="4"/>
      <c r="H306" s="4"/>
      <c r="I306" s="4"/>
      <c r="J306" s="4"/>
      <c r="K306" s="4"/>
    </row>
    <row r="307" spans="2:11" ht="12.75">
      <c r="B307" s="1"/>
      <c r="D307" s="4"/>
      <c r="E307" s="4"/>
      <c r="F307" s="4"/>
      <c r="G307" s="4"/>
      <c r="H307" s="4"/>
      <c r="I307" s="4"/>
      <c r="J307" s="4"/>
      <c r="K307" s="4"/>
    </row>
    <row r="308" spans="2:11" ht="12.75">
      <c r="B308" s="1"/>
      <c r="D308" s="4"/>
      <c r="E308" s="4"/>
      <c r="F308" s="4"/>
      <c r="G308" s="4"/>
      <c r="H308" s="4"/>
      <c r="I308" s="4"/>
      <c r="J308" s="4"/>
      <c r="K308" s="4"/>
    </row>
    <row r="309" spans="2:11" ht="12.75">
      <c r="B309" s="1"/>
      <c r="D309" s="4"/>
      <c r="E309" s="4"/>
      <c r="F309" s="4"/>
      <c r="G309" s="4"/>
      <c r="H309" s="4"/>
      <c r="I309" s="4"/>
      <c r="J309" s="4"/>
      <c r="K309" s="4"/>
    </row>
    <row r="310" spans="2:11" ht="12.75">
      <c r="B310" s="1"/>
      <c r="D310" s="4"/>
      <c r="E310" s="4"/>
      <c r="F310" s="4"/>
      <c r="G310" s="4"/>
      <c r="H310" s="4"/>
      <c r="I310" s="4"/>
      <c r="J310" s="4"/>
      <c r="K310" s="4"/>
    </row>
    <row r="311" spans="2:11" ht="12.75">
      <c r="B311" s="1"/>
      <c r="D311" s="4"/>
      <c r="E311" s="4"/>
      <c r="F311" s="4"/>
      <c r="G311" s="4"/>
      <c r="H311" s="4"/>
      <c r="I311" s="4"/>
      <c r="J311" s="4"/>
      <c r="K311" s="4"/>
    </row>
    <row r="312" spans="2:11" ht="12.75">
      <c r="B312" s="1"/>
      <c r="D312" s="4"/>
      <c r="E312" s="4"/>
      <c r="F312" s="4"/>
      <c r="G312" s="4"/>
      <c r="H312" s="4"/>
      <c r="I312" s="4"/>
      <c r="J312" s="4"/>
      <c r="K312" s="4"/>
    </row>
    <row r="313" spans="2:11" ht="12.75">
      <c r="B313" s="1"/>
      <c r="D313" s="4"/>
      <c r="E313" s="4"/>
      <c r="F313" s="4"/>
      <c r="G313" s="4"/>
      <c r="H313" s="4"/>
      <c r="I313" s="4"/>
      <c r="J313" s="4"/>
      <c r="K313" s="4"/>
    </row>
    <row r="314" spans="2:11" ht="12.75">
      <c r="B314" s="1"/>
      <c r="D314" s="4"/>
      <c r="E314" s="4"/>
      <c r="F314" s="4"/>
      <c r="G314" s="4"/>
      <c r="H314" s="4"/>
      <c r="I314" s="4"/>
      <c r="J314" s="4"/>
      <c r="K314" s="4"/>
    </row>
    <row r="315" spans="2:11" ht="12.75">
      <c r="B315" s="1"/>
      <c r="D315" s="4"/>
      <c r="E315" s="4"/>
      <c r="F315" s="4"/>
      <c r="G315" s="4"/>
      <c r="H315" s="4"/>
      <c r="I315" s="4"/>
      <c r="J315" s="4"/>
      <c r="K315" s="4"/>
    </row>
    <row r="316" spans="2:11" ht="12.75">
      <c r="B316" s="1"/>
      <c r="D316" s="4"/>
      <c r="E316" s="4"/>
      <c r="F316" s="4"/>
      <c r="G316" s="4"/>
      <c r="H316" s="4"/>
      <c r="I316" s="4"/>
      <c r="J316" s="4"/>
      <c r="K316" s="4"/>
    </row>
    <row r="317" spans="2:11" ht="12.75">
      <c r="B317" s="1"/>
      <c r="D317" s="4"/>
      <c r="E317" s="4"/>
      <c r="F317" s="4"/>
      <c r="G317" s="4"/>
      <c r="H317" s="4"/>
      <c r="I317" s="4"/>
      <c r="J317" s="4"/>
      <c r="K317" s="4"/>
    </row>
    <row r="318" spans="2:11" ht="12.75">
      <c r="B318" s="1"/>
      <c r="D318" s="4"/>
      <c r="E318" s="4"/>
      <c r="F318" s="4"/>
      <c r="G318" s="4"/>
      <c r="H318" s="4"/>
      <c r="I318" s="4"/>
      <c r="J318" s="4"/>
      <c r="K318" s="4"/>
    </row>
    <row r="319" spans="2:11" ht="12.75">
      <c r="B319" s="1"/>
      <c r="D319" s="4"/>
      <c r="E319" s="4"/>
      <c r="F319" s="4"/>
      <c r="G319" s="4"/>
      <c r="H319" s="4"/>
      <c r="I319" s="4"/>
      <c r="J319" s="4"/>
      <c r="K319" s="4"/>
    </row>
    <row r="320" spans="2:11" ht="12.75">
      <c r="B320" s="1"/>
      <c r="D320" s="4"/>
      <c r="E320" s="4"/>
      <c r="F320" s="4"/>
      <c r="G320" s="4"/>
      <c r="H320" s="4"/>
      <c r="I320" s="4"/>
      <c r="J320" s="4"/>
      <c r="K320" s="4"/>
    </row>
    <row r="321" spans="2:11" ht="12.75">
      <c r="B321" s="1"/>
      <c r="D321" s="4"/>
      <c r="E321" s="4"/>
      <c r="F321" s="4"/>
      <c r="G321" s="4"/>
      <c r="H321" s="4"/>
      <c r="I321" s="4"/>
      <c r="J321" s="4"/>
      <c r="K321" s="4"/>
    </row>
    <row r="322" spans="2:11" ht="12.75">
      <c r="B322" s="1"/>
      <c r="D322" s="4"/>
      <c r="E322" s="4"/>
      <c r="F322" s="4"/>
      <c r="G322" s="4"/>
      <c r="H322" s="4"/>
      <c r="I322" s="4"/>
      <c r="J322" s="4"/>
      <c r="K322" s="4"/>
    </row>
    <row r="323" spans="2:11" ht="12.75">
      <c r="B323" s="1"/>
      <c r="D323" s="4"/>
      <c r="E323" s="4"/>
      <c r="F323" s="4"/>
      <c r="G323" s="4"/>
      <c r="H323" s="4"/>
      <c r="I323" s="4"/>
      <c r="J323" s="4"/>
      <c r="K323" s="4"/>
    </row>
    <row r="324" spans="2:11" ht="12.75">
      <c r="B324" s="1"/>
      <c r="D324" s="4"/>
      <c r="E324" s="4"/>
      <c r="F324" s="4"/>
      <c r="G324" s="4"/>
      <c r="H324" s="4"/>
      <c r="I324" s="4"/>
      <c r="J324" s="4"/>
      <c r="K324" s="4"/>
    </row>
    <row r="325" spans="2:11" ht="12.75">
      <c r="B325" s="1"/>
      <c r="D325" s="4"/>
      <c r="E325" s="4"/>
      <c r="F325" s="4"/>
      <c r="G325" s="4"/>
      <c r="H325" s="4"/>
      <c r="I325" s="4"/>
      <c r="J325" s="4"/>
      <c r="K325" s="4"/>
    </row>
    <row r="326" spans="2:11" ht="12.75">
      <c r="B326" s="1"/>
      <c r="D326" s="4"/>
      <c r="E326" s="4"/>
      <c r="F326" s="4"/>
      <c r="G326" s="4"/>
      <c r="H326" s="4"/>
      <c r="I326" s="4"/>
      <c r="J326" s="4"/>
      <c r="K326" s="4"/>
    </row>
    <row r="327" spans="2:11" ht="12.75">
      <c r="B327" s="1"/>
      <c r="D327" s="4"/>
      <c r="E327" s="4"/>
      <c r="F327" s="4"/>
      <c r="G327" s="4"/>
      <c r="H327" s="4"/>
      <c r="I327" s="4"/>
      <c r="J327" s="4"/>
      <c r="K327" s="4"/>
    </row>
    <row r="328" spans="2:11" ht="12.75">
      <c r="B328" s="1"/>
      <c r="D328" s="4"/>
      <c r="E328" s="4"/>
      <c r="F328" s="4"/>
      <c r="G328" s="4"/>
      <c r="H328" s="4"/>
      <c r="I328" s="4"/>
      <c r="J328" s="4"/>
      <c r="K328" s="4"/>
    </row>
    <row r="329" spans="2:11" ht="12.75">
      <c r="B329" s="1"/>
      <c r="D329" s="4"/>
      <c r="E329" s="4"/>
      <c r="F329" s="4"/>
      <c r="G329" s="4"/>
      <c r="H329" s="4"/>
      <c r="I329" s="4"/>
      <c r="J329" s="4"/>
      <c r="K329" s="4"/>
    </row>
    <row r="330" spans="2:11" ht="12.75">
      <c r="B330" s="1"/>
      <c r="D330" s="4"/>
      <c r="E330" s="4"/>
      <c r="F330" s="4"/>
      <c r="G330" s="4"/>
      <c r="H330" s="4"/>
      <c r="I330" s="4"/>
      <c r="J330" s="4"/>
      <c r="K330" s="4"/>
    </row>
    <row r="331" spans="2:11" ht="12.75">
      <c r="B331" s="1"/>
      <c r="D331" s="4"/>
      <c r="E331" s="4"/>
      <c r="F331" s="4"/>
      <c r="G331" s="4"/>
      <c r="H331" s="4"/>
      <c r="I331" s="4"/>
      <c r="J331" s="4"/>
      <c r="K331" s="4"/>
    </row>
    <row r="332" spans="2:11" ht="12.75">
      <c r="B332" s="1"/>
      <c r="D332" s="4"/>
      <c r="E332" s="4"/>
      <c r="F332" s="4"/>
      <c r="G332" s="4"/>
      <c r="H332" s="4"/>
      <c r="I332" s="4"/>
      <c r="J332" s="4"/>
      <c r="K332" s="4"/>
    </row>
    <row r="333" spans="2:11" ht="12.75">
      <c r="B333" s="1"/>
      <c r="D333" s="4"/>
      <c r="E333" s="4"/>
      <c r="F333" s="4"/>
      <c r="G333" s="4"/>
      <c r="H333" s="4"/>
      <c r="I333" s="4"/>
      <c r="J333" s="4"/>
      <c r="K333" s="4"/>
    </row>
    <row r="334" spans="2:11" ht="12.75">
      <c r="B334" s="1"/>
      <c r="D334" s="4"/>
      <c r="E334" s="4"/>
      <c r="F334" s="4"/>
      <c r="G334" s="4"/>
      <c r="H334" s="4"/>
      <c r="I334" s="4"/>
      <c r="J334" s="4"/>
      <c r="K334" s="4"/>
    </row>
    <row r="335" spans="2:11" ht="12.75">
      <c r="B335" s="1"/>
      <c r="D335" s="4"/>
      <c r="E335" s="4"/>
      <c r="F335" s="4"/>
      <c r="G335" s="4"/>
      <c r="H335" s="4"/>
      <c r="I335" s="4"/>
      <c r="J335" s="4"/>
      <c r="K335" s="4"/>
    </row>
    <row r="336" spans="2:11" ht="12.75">
      <c r="B336" s="1"/>
      <c r="D336" s="4"/>
      <c r="E336" s="4"/>
      <c r="F336" s="4"/>
      <c r="G336" s="4"/>
      <c r="H336" s="4"/>
      <c r="I336" s="4"/>
      <c r="J336" s="4"/>
      <c r="K336" s="4"/>
    </row>
    <row r="337" spans="2:11" ht="12.75">
      <c r="B337" s="1"/>
      <c r="D337" s="4"/>
      <c r="E337" s="4"/>
      <c r="F337" s="4"/>
      <c r="G337" s="4"/>
      <c r="H337" s="4"/>
      <c r="I337" s="4"/>
      <c r="J337" s="4"/>
      <c r="K337" s="4"/>
    </row>
    <row r="338" spans="2:11" ht="12.75">
      <c r="B338" s="1"/>
      <c r="D338" s="4"/>
      <c r="E338" s="4"/>
      <c r="F338" s="4"/>
      <c r="G338" s="4"/>
      <c r="H338" s="4"/>
      <c r="I338" s="4"/>
      <c r="J338" s="4"/>
      <c r="K338" s="4"/>
    </row>
    <row r="339" spans="2:11" ht="12.75">
      <c r="B339" s="1"/>
      <c r="D339" s="4"/>
      <c r="E339" s="4"/>
      <c r="F339" s="4"/>
      <c r="G339" s="4"/>
      <c r="H339" s="4"/>
      <c r="I339" s="4"/>
      <c r="J339" s="4"/>
      <c r="K339" s="4"/>
    </row>
    <row r="340" spans="2:11" ht="12.75">
      <c r="B340" s="1"/>
      <c r="D340" s="4"/>
      <c r="E340" s="4"/>
      <c r="F340" s="4"/>
      <c r="G340" s="4"/>
      <c r="H340" s="4"/>
      <c r="I340" s="4"/>
      <c r="J340" s="4"/>
      <c r="K340" s="4"/>
    </row>
    <row r="341" spans="2:11" ht="12.75">
      <c r="B341" s="1"/>
      <c r="D341" s="4"/>
      <c r="E341" s="4"/>
      <c r="F341" s="4"/>
      <c r="G341" s="4"/>
      <c r="H341" s="4"/>
      <c r="I341" s="4"/>
      <c r="J341" s="4"/>
      <c r="K341" s="4"/>
    </row>
    <row r="342" spans="2:11" ht="12.75">
      <c r="B342" s="1"/>
      <c r="D342" s="4"/>
      <c r="E342" s="4"/>
      <c r="F342" s="4"/>
      <c r="G342" s="4"/>
      <c r="H342" s="4"/>
      <c r="I342" s="4"/>
      <c r="J342" s="4"/>
      <c r="K342" s="4"/>
    </row>
    <row r="343" spans="2:11" ht="12.75">
      <c r="B343" s="1"/>
      <c r="D343" s="4"/>
      <c r="E343" s="4"/>
      <c r="F343" s="4"/>
      <c r="G343" s="4"/>
      <c r="H343" s="4"/>
      <c r="I343" s="4"/>
      <c r="J343" s="4"/>
      <c r="K343" s="4"/>
    </row>
    <row r="344" spans="2:11" ht="12.75">
      <c r="B344" s="1"/>
      <c r="D344" s="4"/>
      <c r="E344" s="4"/>
      <c r="F344" s="4"/>
      <c r="G344" s="4"/>
      <c r="H344" s="4"/>
      <c r="I344" s="4"/>
      <c r="J344" s="4"/>
      <c r="K344" s="4"/>
    </row>
    <row r="345" spans="2:11" ht="12.75">
      <c r="B345" s="1"/>
      <c r="D345" s="4"/>
      <c r="E345" s="4"/>
      <c r="F345" s="4"/>
      <c r="G345" s="4"/>
      <c r="H345" s="4"/>
      <c r="I345" s="4"/>
      <c r="J345" s="4"/>
      <c r="K345" s="4"/>
    </row>
    <row r="346" spans="2:11" ht="12.75">
      <c r="B346" s="1"/>
      <c r="D346" s="4"/>
      <c r="E346" s="4"/>
      <c r="F346" s="4"/>
      <c r="G346" s="4"/>
      <c r="H346" s="4"/>
      <c r="I346" s="4"/>
      <c r="J346" s="4"/>
      <c r="K346" s="4"/>
    </row>
    <row r="347" spans="2:11" ht="12.75">
      <c r="B347" s="1"/>
      <c r="D347" s="4"/>
      <c r="E347" s="4"/>
      <c r="F347" s="4"/>
      <c r="G347" s="4"/>
      <c r="H347" s="4"/>
      <c r="I347" s="4"/>
      <c r="J347" s="4"/>
      <c r="K347" s="4"/>
    </row>
    <row r="348" spans="2:11" ht="12.75">
      <c r="B348" s="1"/>
      <c r="D348" s="4"/>
      <c r="E348" s="4"/>
      <c r="F348" s="4"/>
      <c r="G348" s="4"/>
      <c r="H348" s="4"/>
      <c r="I348" s="4"/>
      <c r="J348" s="4"/>
      <c r="K348" s="4"/>
    </row>
    <row r="349" spans="2:11" ht="12.75">
      <c r="B349" s="1"/>
      <c r="D349" s="4"/>
      <c r="E349" s="4"/>
      <c r="F349" s="4"/>
      <c r="G349" s="4"/>
      <c r="H349" s="4"/>
      <c r="I349" s="4"/>
      <c r="J349" s="4"/>
      <c r="K349" s="4"/>
    </row>
    <row r="350" spans="2:11" ht="12.75">
      <c r="B350" s="1"/>
      <c r="D350" s="4"/>
      <c r="E350" s="4"/>
      <c r="F350" s="4"/>
      <c r="G350" s="4"/>
      <c r="H350" s="4"/>
      <c r="I350" s="4"/>
      <c r="J350" s="4"/>
      <c r="K350" s="4"/>
    </row>
    <row r="351" spans="2:11" ht="12.75">
      <c r="B351" s="1"/>
      <c r="D351" s="4"/>
      <c r="E351" s="4"/>
      <c r="F351" s="4"/>
      <c r="G351" s="4"/>
      <c r="H351" s="4"/>
      <c r="I351" s="4"/>
      <c r="J351" s="4"/>
      <c r="K351" s="4"/>
    </row>
    <row r="352" spans="2:11" ht="12.75">
      <c r="B352" s="1"/>
      <c r="D352" s="4"/>
      <c r="E352" s="4"/>
      <c r="F352" s="4"/>
      <c r="G352" s="4"/>
      <c r="H352" s="4"/>
      <c r="I352" s="4"/>
      <c r="J352" s="4"/>
      <c r="K352" s="4"/>
    </row>
    <row r="353" spans="2:11" ht="12.75">
      <c r="B353" s="1"/>
      <c r="D353" s="4"/>
      <c r="E353" s="4"/>
      <c r="F353" s="4"/>
      <c r="G353" s="4"/>
      <c r="H353" s="4"/>
      <c r="I353" s="4"/>
      <c r="J353" s="4"/>
      <c r="K353" s="4"/>
    </row>
    <row r="354" spans="2:11" ht="12.75">
      <c r="B354" s="1"/>
      <c r="D354" s="4"/>
      <c r="E354" s="4"/>
      <c r="F354" s="4"/>
      <c r="G354" s="4"/>
      <c r="H354" s="4"/>
      <c r="I354" s="4"/>
      <c r="J354" s="4"/>
      <c r="K354" s="4"/>
    </row>
    <row r="355" spans="2:11" ht="12.75">
      <c r="B355" s="1"/>
      <c r="D355" s="4"/>
      <c r="E355" s="4"/>
      <c r="F355" s="4"/>
      <c r="G355" s="4"/>
      <c r="H355" s="4"/>
      <c r="I355" s="4"/>
      <c r="J355" s="4"/>
      <c r="K355" s="4"/>
    </row>
    <row r="356" spans="2:11" ht="12.75">
      <c r="B356" s="1"/>
      <c r="D356" s="4"/>
      <c r="E356" s="4"/>
      <c r="F356" s="4"/>
      <c r="G356" s="4"/>
      <c r="H356" s="4"/>
      <c r="I356" s="4"/>
      <c r="J356" s="4"/>
      <c r="K356" s="4"/>
    </row>
    <row r="357" spans="2:11" ht="12.75">
      <c r="B357" s="1"/>
      <c r="D357" s="4"/>
      <c r="E357" s="4"/>
      <c r="F357" s="4"/>
      <c r="G357" s="4"/>
      <c r="H357" s="4"/>
      <c r="I357" s="4"/>
      <c r="J357" s="4"/>
      <c r="K357" s="4"/>
    </row>
    <row r="358" spans="2:11" ht="12.75">
      <c r="B358" s="1"/>
      <c r="D358" s="4"/>
      <c r="E358" s="4"/>
      <c r="F358" s="4"/>
      <c r="G358" s="4"/>
      <c r="H358" s="4"/>
      <c r="I358" s="4"/>
      <c r="J358" s="4"/>
      <c r="K358" s="4"/>
    </row>
    <row r="359" spans="2:11" ht="12.75">
      <c r="B359" s="1"/>
      <c r="D359" s="4"/>
      <c r="E359" s="4"/>
      <c r="F359" s="4"/>
      <c r="G359" s="4"/>
      <c r="H359" s="4"/>
      <c r="I359" s="4"/>
      <c r="J359" s="4"/>
      <c r="K359" s="4"/>
    </row>
    <row r="360" spans="2:11" ht="12.75">
      <c r="B360" s="1"/>
      <c r="D360" s="4"/>
      <c r="E360" s="4"/>
      <c r="F360" s="4"/>
      <c r="G360" s="4"/>
      <c r="H360" s="4"/>
      <c r="I360" s="4"/>
      <c r="J360" s="4"/>
      <c r="K360" s="4"/>
    </row>
    <row r="361" spans="2:11" ht="12.75">
      <c r="B361" s="1"/>
      <c r="D361" s="4"/>
      <c r="E361" s="4"/>
      <c r="F361" s="4"/>
      <c r="G361" s="4"/>
      <c r="H361" s="4"/>
      <c r="I361" s="4"/>
      <c r="J361" s="4"/>
      <c r="K361" s="4"/>
    </row>
    <row r="362" spans="2:11" ht="12.75">
      <c r="B362" s="1"/>
      <c r="D362" s="4"/>
      <c r="E362" s="4"/>
      <c r="F362" s="4"/>
      <c r="G362" s="4"/>
      <c r="H362" s="4"/>
      <c r="I362" s="4"/>
      <c r="J362" s="4"/>
      <c r="K362" s="4"/>
    </row>
    <row r="363" spans="2:11" ht="12.75">
      <c r="B363" s="1"/>
      <c r="D363" s="4"/>
      <c r="E363" s="4"/>
      <c r="F363" s="4"/>
      <c r="G363" s="4"/>
      <c r="H363" s="4"/>
      <c r="I363" s="4"/>
      <c r="J363" s="4"/>
      <c r="K363" s="4"/>
    </row>
    <row r="364" spans="2:11" ht="12.75">
      <c r="B364" s="1"/>
      <c r="D364" s="4"/>
      <c r="E364" s="4"/>
      <c r="F364" s="4"/>
      <c r="G364" s="4"/>
      <c r="H364" s="4"/>
      <c r="I364" s="4"/>
      <c r="J364" s="4"/>
      <c r="K364" s="4"/>
    </row>
    <row r="365" spans="2:11" ht="12.75">
      <c r="B365" s="1"/>
      <c r="D365" s="4"/>
      <c r="E365" s="4"/>
      <c r="F365" s="4"/>
      <c r="G365" s="4"/>
      <c r="H365" s="4"/>
      <c r="I365" s="4"/>
      <c r="J365" s="4"/>
      <c r="K365" s="4"/>
    </row>
    <row r="366" spans="2:11" ht="12.75">
      <c r="B366" s="1"/>
      <c r="D366" s="4"/>
      <c r="E366" s="4"/>
      <c r="F366" s="4"/>
      <c r="G366" s="4"/>
      <c r="H366" s="4"/>
      <c r="I366" s="4"/>
      <c r="J366" s="4"/>
      <c r="K366" s="4"/>
    </row>
    <row r="367" spans="2:11" ht="12.75">
      <c r="B367" s="1"/>
      <c r="D367" s="4"/>
      <c r="E367" s="4"/>
      <c r="F367" s="4"/>
      <c r="G367" s="4"/>
      <c r="H367" s="4"/>
      <c r="I367" s="4"/>
      <c r="J367" s="4"/>
      <c r="K367" s="4"/>
    </row>
    <row r="368" spans="2:11" ht="12.75">
      <c r="B368" s="1"/>
      <c r="D368" s="4"/>
      <c r="E368" s="4"/>
      <c r="F368" s="4"/>
      <c r="G368" s="4"/>
      <c r="H368" s="4"/>
      <c r="I368" s="4"/>
      <c r="J368" s="4"/>
      <c r="K368" s="4"/>
    </row>
    <row r="369" spans="2:11" ht="12.75">
      <c r="B369" s="1"/>
      <c r="D369" s="4"/>
      <c r="E369" s="4"/>
      <c r="F369" s="4"/>
      <c r="G369" s="4"/>
      <c r="H369" s="4"/>
      <c r="I369" s="4"/>
      <c r="J369" s="4"/>
      <c r="K369" s="4"/>
    </row>
    <row r="370" spans="2:11" ht="12.75">
      <c r="B370" s="1"/>
      <c r="D370" s="4"/>
      <c r="E370" s="4"/>
      <c r="F370" s="4"/>
      <c r="G370" s="4"/>
      <c r="H370" s="4"/>
      <c r="I370" s="4"/>
      <c r="J370" s="4"/>
      <c r="K370" s="4"/>
    </row>
    <row r="371" spans="2:11" ht="12.75">
      <c r="B371" s="1"/>
      <c r="D371" s="4"/>
      <c r="E371" s="4"/>
      <c r="F371" s="4"/>
      <c r="G371" s="4"/>
      <c r="H371" s="4"/>
      <c r="I371" s="4"/>
      <c r="J371" s="4"/>
      <c r="K371" s="4"/>
    </row>
    <row r="372" spans="2:11" ht="12.75">
      <c r="B372" s="1"/>
      <c r="D372" s="4"/>
      <c r="E372" s="4"/>
      <c r="F372" s="4"/>
      <c r="G372" s="4"/>
      <c r="H372" s="4"/>
      <c r="I372" s="4"/>
      <c r="J372" s="4"/>
      <c r="K372" s="4"/>
    </row>
    <row r="373" spans="2:11" ht="12.75">
      <c r="B373" s="1"/>
      <c r="D373" s="4"/>
      <c r="E373" s="4"/>
      <c r="F373" s="4"/>
      <c r="G373" s="4"/>
      <c r="H373" s="4"/>
      <c r="I373" s="4"/>
      <c r="J373" s="4"/>
      <c r="K373" s="4"/>
    </row>
    <row r="374" spans="2:11" ht="12.75">
      <c r="B374" s="1"/>
      <c r="D374" s="4"/>
      <c r="E374" s="4"/>
      <c r="F374" s="4"/>
      <c r="G374" s="4"/>
      <c r="H374" s="4"/>
      <c r="I374" s="4"/>
      <c r="J374" s="4"/>
      <c r="K374" s="4"/>
    </row>
    <row r="375" spans="2:11" ht="12.75">
      <c r="B375" s="1"/>
      <c r="D375" s="4"/>
      <c r="E375" s="4"/>
      <c r="F375" s="4"/>
      <c r="G375" s="4"/>
      <c r="H375" s="4"/>
      <c r="I375" s="4"/>
      <c r="J375" s="4"/>
      <c r="K375" s="4"/>
    </row>
    <row r="376" spans="2:11" ht="12.75">
      <c r="B376" s="1"/>
      <c r="D376" s="4"/>
      <c r="E376" s="4"/>
      <c r="F376" s="4"/>
      <c r="G376" s="4"/>
      <c r="H376" s="4"/>
      <c r="I376" s="4"/>
      <c r="J376" s="4"/>
      <c r="K376" s="4"/>
    </row>
    <row r="377" spans="2:11" ht="12.75">
      <c r="B377" s="1"/>
      <c r="D377" s="4"/>
      <c r="E377" s="4"/>
      <c r="F377" s="4"/>
      <c r="G377" s="4"/>
      <c r="H377" s="4"/>
      <c r="I377" s="4"/>
      <c r="J377" s="4"/>
      <c r="K377" s="4"/>
    </row>
    <row r="378" spans="2:11" ht="12.75">
      <c r="B378" s="1"/>
      <c r="D378" s="4"/>
      <c r="E378" s="4"/>
      <c r="F378" s="4"/>
      <c r="G378" s="4"/>
      <c r="H378" s="4"/>
      <c r="I378" s="4"/>
      <c r="J378" s="4"/>
      <c r="K378" s="4"/>
    </row>
    <row r="379" spans="2:11" ht="12.75">
      <c r="B379" s="1"/>
      <c r="D379" s="4"/>
      <c r="E379" s="4"/>
      <c r="F379" s="4"/>
      <c r="G379" s="4"/>
      <c r="H379" s="4"/>
      <c r="I379" s="4"/>
      <c r="J379" s="4"/>
      <c r="K379" s="4"/>
    </row>
    <row r="380" spans="2:11" ht="12.75">
      <c r="B380" s="1"/>
      <c r="D380" s="4"/>
      <c r="E380" s="4"/>
      <c r="F380" s="4"/>
      <c r="G380" s="4"/>
      <c r="H380" s="4"/>
      <c r="I380" s="4"/>
      <c r="J380" s="4"/>
      <c r="K380" s="4"/>
    </row>
    <row r="381" spans="2:11" ht="12.75">
      <c r="B381" s="1"/>
      <c r="D381" s="4"/>
      <c r="E381" s="4"/>
      <c r="F381" s="4"/>
      <c r="G381" s="4"/>
      <c r="H381" s="4"/>
      <c r="I381" s="4"/>
      <c r="J381" s="4"/>
      <c r="K381" s="4"/>
    </row>
    <row r="382" spans="2:11" ht="12.75">
      <c r="B382" s="1"/>
      <c r="D382" s="4"/>
      <c r="E382" s="4"/>
      <c r="F382" s="4"/>
      <c r="G382" s="4"/>
      <c r="H382" s="4"/>
      <c r="I382" s="4"/>
      <c r="J382" s="4"/>
      <c r="K382" s="4"/>
    </row>
    <row r="383" spans="2:11" ht="12.75">
      <c r="B383" s="1"/>
      <c r="D383" s="4"/>
      <c r="E383" s="4"/>
      <c r="F383" s="4"/>
      <c r="G383" s="4"/>
      <c r="H383" s="4"/>
      <c r="I383" s="4"/>
      <c r="J383" s="4"/>
      <c r="K383" s="4"/>
    </row>
    <row r="384" spans="2:11" ht="12.75">
      <c r="B384" s="1"/>
      <c r="D384" s="4"/>
      <c r="E384" s="4"/>
      <c r="F384" s="4"/>
      <c r="G384" s="4"/>
      <c r="H384" s="4"/>
      <c r="I384" s="4"/>
      <c r="J384" s="4"/>
      <c r="K384" s="4"/>
    </row>
    <row r="385" spans="2:11" ht="12.75">
      <c r="B385" s="1"/>
      <c r="D385" s="4"/>
      <c r="E385" s="4"/>
      <c r="F385" s="4"/>
      <c r="G385" s="4"/>
      <c r="H385" s="4"/>
      <c r="I385" s="4"/>
      <c r="J385" s="4"/>
      <c r="K385" s="4"/>
    </row>
    <row r="386" spans="2:11" ht="12.75">
      <c r="B386" s="1"/>
      <c r="D386" s="4"/>
      <c r="E386" s="4"/>
      <c r="F386" s="4"/>
      <c r="G386" s="4"/>
      <c r="H386" s="4"/>
      <c r="I386" s="4"/>
      <c r="J386" s="4"/>
      <c r="K386" s="4"/>
    </row>
    <row r="387" spans="2:11" ht="12.75">
      <c r="B387" s="1"/>
      <c r="D387" s="4"/>
      <c r="E387" s="4"/>
      <c r="F387" s="4"/>
      <c r="G387" s="4"/>
      <c r="H387" s="4"/>
      <c r="I387" s="4"/>
      <c r="J387" s="4"/>
      <c r="K387" s="4"/>
    </row>
    <row r="388" spans="2:11" ht="12.75">
      <c r="B388" s="1"/>
      <c r="D388" s="4"/>
      <c r="E388" s="4"/>
      <c r="F388" s="4"/>
      <c r="G388" s="4"/>
      <c r="H388" s="4"/>
      <c r="I388" s="4"/>
      <c r="J388" s="4"/>
      <c r="K388" s="4"/>
    </row>
    <row r="389" spans="2:11" ht="12.75">
      <c r="B389" s="1"/>
      <c r="D389" s="4"/>
      <c r="E389" s="4"/>
      <c r="F389" s="4"/>
      <c r="G389" s="4"/>
      <c r="H389" s="4"/>
      <c r="I389" s="4"/>
      <c r="J389" s="4"/>
      <c r="K389" s="4"/>
    </row>
    <row r="390" spans="2:11" ht="12.75">
      <c r="B390" s="1"/>
      <c r="D390" s="4"/>
      <c r="E390" s="4"/>
      <c r="F390" s="4"/>
      <c r="G390" s="4"/>
      <c r="H390" s="4"/>
      <c r="I390" s="4"/>
      <c r="J390" s="4"/>
      <c r="K390" s="4"/>
    </row>
    <row r="391" spans="2:11" ht="12.75">
      <c r="B391" s="1"/>
      <c r="D391" s="4"/>
      <c r="E391" s="4"/>
      <c r="F391" s="4"/>
      <c r="G391" s="4"/>
      <c r="H391" s="4"/>
      <c r="I391" s="4"/>
      <c r="J391" s="4"/>
      <c r="K391" s="4"/>
    </row>
    <row r="392" spans="2:11" ht="12.75">
      <c r="B392" s="1"/>
      <c r="D392" s="4"/>
      <c r="E392" s="4"/>
      <c r="F392" s="4"/>
      <c r="G392" s="4"/>
      <c r="H392" s="4"/>
      <c r="I392" s="4"/>
      <c r="J392" s="4"/>
      <c r="K392" s="4"/>
    </row>
    <row r="393" spans="2:11" ht="12.75">
      <c r="B393" s="1"/>
      <c r="D393" s="4"/>
      <c r="E393" s="4"/>
      <c r="F393" s="4"/>
      <c r="G393" s="4"/>
      <c r="H393" s="4"/>
      <c r="I393" s="4"/>
      <c r="J393" s="4"/>
      <c r="K393" s="4"/>
    </row>
    <row r="394" spans="2:11" ht="12.75">
      <c r="B394" s="1"/>
      <c r="D394" s="4"/>
      <c r="E394" s="4"/>
      <c r="F394" s="4"/>
      <c r="G394" s="4"/>
      <c r="H394" s="4"/>
      <c r="I394" s="4"/>
      <c r="J394" s="4"/>
      <c r="K394" s="4"/>
    </row>
    <row r="395" spans="2:11" ht="12.75">
      <c r="B395" s="1"/>
      <c r="D395" s="4"/>
      <c r="E395" s="4"/>
      <c r="F395" s="4"/>
      <c r="G395" s="4"/>
      <c r="H395" s="4"/>
      <c r="I395" s="4"/>
      <c r="J395" s="4"/>
      <c r="K395" s="4"/>
    </row>
    <row r="396" spans="2:11" ht="12.75">
      <c r="B396" s="1"/>
      <c r="D396" s="4"/>
      <c r="E396" s="4"/>
      <c r="F396" s="4"/>
      <c r="G396" s="4"/>
      <c r="H396" s="4"/>
      <c r="I396" s="4"/>
      <c r="J396" s="4"/>
      <c r="K396" s="4"/>
    </row>
    <row r="397" spans="2:11" ht="12.75">
      <c r="B397" s="1"/>
      <c r="D397" s="4"/>
      <c r="E397" s="4"/>
      <c r="F397" s="4"/>
      <c r="G397" s="4"/>
      <c r="H397" s="4"/>
      <c r="I397" s="4"/>
      <c r="J397" s="4"/>
      <c r="K397" s="4"/>
    </row>
    <row r="398" spans="2:11" ht="12.75">
      <c r="B398" s="1"/>
      <c r="D398" s="4"/>
      <c r="E398" s="4"/>
      <c r="F398" s="4"/>
      <c r="G398" s="4"/>
      <c r="H398" s="4"/>
      <c r="I398" s="4"/>
      <c r="J398" s="4"/>
      <c r="K398" s="4"/>
    </row>
    <row r="399" spans="2:11" ht="12.75">
      <c r="B399" s="1"/>
      <c r="D399" s="4"/>
      <c r="E399" s="4"/>
      <c r="F399" s="4"/>
      <c r="G399" s="4"/>
      <c r="H399" s="4"/>
      <c r="I399" s="4"/>
      <c r="J399" s="4"/>
      <c r="K399" s="4"/>
    </row>
    <row r="400" spans="2:11" ht="12.75">
      <c r="B400" s="1"/>
      <c r="D400" s="4"/>
      <c r="E400" s="4"/>
      <c r="F400" s="4"/>
      <c r="G400" s="4"/>
      <c r="H400" s="4"/>
      <c r="I400" s="4"/>
      <c r="J400" s="4"/>
      <c r="K400" s="4"/>
    </row>
    <row r="401" spans="2:11" ht="12.75">
      <c r="B401" s="1"/>
      <c r="D401" s="4"/>
      <c r="E401" s="4"/>
      <c r="F401" s="4"/>
      <c r="G401" s="4"/>
      <c r="H401" s="4"/>
      <c r="I401" s="4"/>
      <c r="J401" s="4"/>
      <c r="K401" s="4"/>
    </row>
    <row r="402" spans="2:11" ht="12.75">
      <c r="B402" s="1"/>
      <c r="D402" s="4"/>
      <c r="E402" s="4"/>
      <c r="F402" s="4"/>
      <c r="G402" s="4"/>
      <c r="H402" s="4"/>
      <c r="I402" s="4"/>
      <c r="J402" s="4"/>
      <c r="K402" s="4"/>
    </row>
    <row r="403" spans="2:11" ht="12.75">
      <c r="B403" s="1"/>
      <c r="D403" s="4"/>
      <c r="E403" s="4"/>
      <c r="F403" s="4"/>
      <c r="G403" s="4"/>
      <c r="H403" s="4"/>
      <c r="I403" s="4"/>
      <c r="J403" s="4"/>
      <c r="K403" s="4"/>
    </row>
    <row r="404" spans="2:11" ht="12.75">
      <c r="B404" s="1"/>
      <c r="D404" s="4"/>
      <c r="E404" s="4"/>
      <c r="F404" s="4"/>
      <c r="G404" s="4"/>
      <c r="H404" s="4"/>
      <c r="I404" s="4"/>
      <c r="J404" s="4"/>
      <c r="K404" s="4"/>
    </row>
    <row r="405" spans="2:11" ht="12.75">
      <c r="B405" s="1"/>
      <c r="D405" s="4"/>
      <c r="E405" s="4"/>
      <c r="F405" s="4"/>
      <c r="G405" s="4"/>
      <c r="H405" s="4"/>
      <c r="I405" s="4"/>
      <c r="J405" s="4"/>
      <c r="K405" s="4"/>
    </row>
    <row r="406" spans="2:11" ht="12.75">
      <c r="B406" s="1"/>
      <c r="D406" s="4"/>
      <c r="E406" s="4"/>
      <c r="F406" s="4"/>
      <c r="G406" s="4"/>
      <c r="H406" s="4"/>
      <c r="I406" s="4"/>
      <c r="J406" s="4"/>
      <c r="K406" s="4"/>
    </row>
    <row r="407" spans="2:11" ht="12.75">
      <c r="B407" s="1"/>
      <c r="D407" s="4"/>
      <c r="E407" s="4"/>
      <c r="F407" s="4"/>
      <c r="G407" s="4"/>
      <c r="H407" s="4"/>
      <c r="I407" s="4"/>
      <c r="J407" s="4"/>
      <c r="K407" s="4"/>
    </row>
    <row r="408" spans="2:11" ht="12.75">
      <c r="B408" s="1"/>
      <c r="D408" s="4"/>
      <c r="E408" s="4"/>
      <c r="F408" s="4"/>
      <c r="G408" s="4"/>
      <c r="H408" s="4"/>
      <c r="I408" s="4"/>
      <c r="J408" s="4"/>
      <c r="K408" s="4"/>
    </row>
    <row r="409" spans="2:11" ht="12.75">
      <c r="B409" s="1"/>
      <c r="D409" s="4"/>
      <c r="E409" s="4"/>
      <c r="F409" s="4"/>
      <c r="G409" s="4"/>
      <c r="H409" s="4"/>
      <c r="I409" s="4"/>
      <c r="J409" s="4"/>
      <c r="K409" s="4"/>
    </row>
    <row r="410" spans="2:11" ht="12.75">
      <c r="B410" s="1"/>
      <c r="D410" s="4"/>
      <c r="E410" s="4"/>
      <c r="F410" s="4"/>
      <c r="G410" s="4"/>
      <c r="H410" s="4"/>
      <c r="I410" s="4"/>
      <c r="J410" s="4"/>
      <c r="K410" s="4"/>
    </row>
    <row r="411" spans="2:11" ht="12.75">
      <c r="B411" s="1"/>
      <c r="D411" s="4"/>
      <c r="E411" s="4"/>
      <c r="F411" s="4"/>
      <c r="G411" s="4"/>
      <c r="H411" s="4"/>
      <c r="I411" s="4"/>
      <c r="J411" s="4"/>
      <c r="K411" s="4"/>
    </row>
    <row r="412" spans="2:11" ht="12.75">
      <c r="B412" s="1"/>
      <c r="D412" s="4"/>
      <c r="E412" s="4"/>
      <c r="F412" s="4"/>
      <c r="G412" s="4"/>
      <c r="H412" s="4"/>
      <c r="I412" s="4"/>
      <c r="J412" s="4"/>
      <c r="K412" s="4"/>
    </row>
    <row r="413" spans="2:11" ht="12.75">
      <c r="B413" s="1"/>
      <c r="D413" s="4"/>
      <c r="E413" s="4"/>
      <c r="F413" s="4"/>
      <c r="G413" s="4"/>
      <c r="H413" s="4"/>
      <c r="I413" s="4"/>
      <c r="J413" s="4"/>
      <c r="K413" s="4"/>
    </row>
    <row r="414" spans="2:11" ht="12.75">
      <c r="B414" s="1"/>
      <c r="D414" s="4"/>
      <c r="E414" s="4"/>
      <c r="F414" s="4"/>
      <c r="G414" s="4"/>
      <c r="H414" s="4"/>
      <c r="I414" s="4"/>
      <c r="J414" s="4"/>
      <c r="K414" s="4"/>
    </row>
    <row r="415" spans="2:11" ht="12.75">
      <c r="B415" s="1"/>
      <c r="D415" s="4"/>
      <c r="E415" s="4"/>
      <c r="F415" s="4"/>
      <c r="G415" s="4"/>
      <c r="H415" s="4"/>
      <c r="I415" s="4"/>
      <c r="J415" s="4"/>
      <c r="K415" s="4"/>
    </row>
    <row r="416" spans="2:11" ht="12.75">
      <c r="B416" s="1"/>
      <c r="D416" s="4"/>
      <c r="E416" s="4"/>
      <c r="F416" s="4"/>
      <c r="G416" s="4"/>
      <c r="H416" s="4"/>
      <c r="I416" s="4"/>
      <c r="J416" s="4"/>
      <c r="K416" s="4"/>
    </row>
    <row r="417" spans="2:11" ht="12.75">
      <c r="B417" s="1"/>
      <c r="D417" s="4"/>
      <c r="E417" s="4"/>
      <c r="F417" s="4"/>
      <c r="G417" s="4"/>
      <c r="H417" s="4"/>
      <c r="I417" s="4"/>
      <c r="J417" s="4"/>
      <c r="K417" s="4"/>
    </row>
    <row r="418" spans="2:11" ht="12.75">
      <c r="B418" s="1"/>
      <c r="D418" s="4"/>
      <c r="E418" s="4"/>
      <c r="F418" s="4"/>
      <c r="G418" s="4"/>
      <c r="H418" s="4"/>
      <c r="I418" s="4"/>
      <c r="J418" s="4"/>
      <c r="K418" s="4"/>
    </row>
    <row r="419" spans="2:11" ht="12.75">
      <c r="B419" s="1"/>
      <c r="D419" s="4"/>
      <c r="E419" s="4"/>
      <c r="F419" s="4"/>
      <c r="G419" s="4"/>
      <c r="H419" s="4"/>
      <c r="I419" s="4"/>
      <c r="J419" s="4"/>
      <c r="K419" s="4"/>
    </row>
    <row r="420" spans="2:11" ht="12.75">
      <c r="B420" s="1"/>
      <c r="D420" s="4"/>
      <c r="E420" s="4"/>
      <c r="F420" s="4"/>
      <c r="G420" s="4"/>
      <c r="H420" s="4"/>
      <c r="I420" s="4"/>
      <c r="J420" s="4"/>
      <c r="K420" s="4"/>
    </row>
    <row r="421" spans="2:11" ht="12.75">
      <c r="B421" s="1"/>
      <c r="D421" s="4"/>
      <c r="E421" s="4"/>
      <c r="F421" s="4"/>
      <c r="G421" s="4"/>
      <c r="H421" s="4"/>
      <c r="I421" s="4"/>
      <c r="J421" s="4"/>
      <c r="K421" s="4"/>
    </row>
    <row r="422" spans="2:11" ht="12.75">
      <c r="B422" s="1"/>
      <c r="D422" s="4"/>
      <c r="E422" s="4"/>
      <c r="F422" s="4"/>
      <c r="G422" s="4"/>
      <c r="H422" s="4"/>
      <c r="I422" s="4"/>
      <c r="J422" s="4"/>
      <c r="K422" s="4"/>
    </row>
    <row r="423" spans="2:11" ht="12.75">
      <c r="B423" s="1"/>
      <c r="D423" s="4"/>
      <c r="E423" s="4"/>
      <c r="F423" s="4"/>
      <c r="G423" s="4"/>
      <c r="H423" s="4"/>
      <c r="I423" s="4"/>
      <c r="J423" s="4"/>
      <c r="K423" s="4"/>
    </row>
    <row r="424" spans="2:11" ht="12.75">
      <c r="B424" s="1"/>
      <c r="D424" s="4"/>
      <c r="E424" s="4"/>
      <c r="F424" s="4"/>
      <c r="G424" s="4"/>
      <c r="H424" s="4"/>
      <c r="I424" s="4"/>
      <c r="J424" s="4"/>
      <c r="K424" s="4"/>
    </row>
    <row r="425" spans="2:11" ht="12.75">
      <c r="B425" s="1"/>
      <c r="D425" s="4"/>
      <c r="E425" s="4"/>
      <c r="F425" s="4"/>
      <c r="G425" s="4"/>
      <c r="H425" s="4"/>
      <c r="I425" s="4"/>
      <c r="J425" s="4"/>
      <c r="K425" s="4"/>
    </row>
    <row r="426" spans="2:11" ht="12.75">
      <c r="B426" s="1"/>
      <c r="D426" s="4"/>
      <c r="E426" s="4"/>
      <c r="F426" s="4"/>
      <c r="G426" s="4"/>
      <c r="H426" s="4"/>
      <c r="I426" s="4"/>
      <c r="J426" s="4"/>
      <c r="K426" s="4"/>
    </row>
    <row r="427" spans="2:11" ht="12.75">
      <c r="B427" s="1"/>
      <c r="D427" s="4"/>
      <c r="E427" s="4"/>
      <c r="F427" s="4"/>
      <c r="G427" s="4"/>
      <c r="H427" s="4"/>
      <c r="I427" s="4"/>
      <c r="J427" s="4"/>
      <c r="K427" s="4"/>
    </row>
    <row r="428" spans="2:11" ht="12.75">
      <c r="B428" s="1"/>
      <c r="D428" s="4"/>
      <c r="E428" s="4"/>
      <c r="F428" s="4"/>
      <c r="G428" s="4"/>
      <c r="H428" s="4"/>
      <c r="I428" s="4"/>
      <c r="J428" s="4"/>
      <c r="K428" s="4"/>
    </row>
    <row r="429" spans="2:11" ht="12.75">
      <c r="B429" s="1"/>
      <c r="D429" s="4"/>
      <c r="E429" s="4"/>
      <c r="F429" s="4"/>
      <c r="G429" s="4"/>
      <c r="H429" s="4"/>
      <c r="I429" s="4"/>
      <c r="J429" s="4"/>
      <c r="K429" s="4"/>
    </row>
    <row r="430" spans="2:11" ht="12.75">
      <c r="B430" s="1"/>
      <c r="D430" s="4"/>
      <c r="E430" s="4"/>
      <c r="F430" s="4"/>
      <c r="G430" s="4"/>
      <c r="H430" s="4"/>
      <c r="I430" s="4"/>
      <c r="J430" s="4"/>
      <c r="K430" s="4"/>
    </row>
    <row r="431" spans="2:11" ht="12.75">
      <c r="B431" s="1"/>
      <c r="D431" s="4"/>
      <c r="E431" s="4"/>
      <c r="F431" s="4"/>
      <c r="G431" s="4"/>
      <c r="H431" s="4"/>
      <c r="I431" s="4"/>
      <c r="J431" s="4"/>
      <c r="K431" s="4"/>
    </row>
    <row r="432" spans="2:11" ht="12.75">
      <c r="B432" s="1"/>
      <c r="D432" s="4"/>
      <c r="E432" s="4"/>
      <c r="F432" s="4"/>
      <c r="G432" s="4"/>
      <c r="H432" s="4"/>
      <c r="I432" s="4"/>
      <c r="J432" s="4"/>
      <c r="K432" s="4"/>
    </row>
    <row r="433" spans="2:11" ht="12.75">
      <c r="B433" s="1"/>
      <c r="D433" s="4"/>
      <c r="E433" s="4"/>
      <c r="F433" s="4"/>
      <c r="G433" s="4"/>
      <c r="H433" s="4"/>
      <c r="I433" s="4"/>
      <c r="J433" s="4"/>
      <c r="K433" s="4"/>
    </row>
    <row r="434" spans="2:11" ht="12.75">
      <c r="B434" s="1"/>
      <c r="D434" s="4"/>
      <c r="E434" s="4"/>
      <c r="F434" s="4"/>
      <c r="G434" s="4"/>
      <c r="H434" s="4"/>
      <c r="I434" s="4"/>
      <c r="J434" s="4"/>
      <c r="K434" s="4"/>
    </row>
    <row r="435" spans="2:11" ht="12.75">
      <c r="B435" s="1"/>
      <c r="D435" s="4"/>
      <c r="E435" s="4"/>
      <c r="F435" s="4"/>
      <c r="G435" s="4"/>
      <c r="H435" s="4"/>
      <c r="I435" s="4"/>
      <c r="J435" s="4"/>
      <c r="K435" s="4"/>
    </row>
    <row r="436" spans="2:11" ht="12.75">
      <c r="B436" s="1"/>
      <c r="D436" s="4"/>
      <c r="E436" s="4"/>
      <c r="F436" s="4"/>
      <c r="G436" s="4"/>
      <c r="H436" s="4"/>
      <c r="I436" s="4"/>
      <c r="J436" s="4"/>
      <c r="K436" s="4"/>
    </row>
    <row r="437" spans="2:11" ht="12.75">
      <c r="B437" s="1"/>
      <c r="D437" s="4"/>
      <c r="E437" s="4"/>
      <c r="F437" s="4"/>
      <c r="G437" s="4"/>
      <c r="H437" s="4"/>
      <c r="I437" s="4"/>
      <c r="J437" s="4"/>
      <c r="K437" s="4"/>
    </row>
    <row r="438" spans="2:11" ht="12.75">
      <c r="B438" s="1"/>
      <c r="D438" s="4"/>
      <c r="E438" s="4"/>
      <c r="F438" s="4"/>
      <c r="G438" s="4"/>
      <c r="H438" s="4"/>
      <c r="I438" s="4"/>
      <c r="J438" s="4"/>
      <c r="K438" s="4"/>
    </row>
    <row r="439" spans="2:11" ht="12.75">
      <c r="B439" s="1"/>
      <c r="D439" s="4"/>
      <c r="E439" s="4"/>
      <c r="F439" s="4"/>
      <c r="G439" s="4"/>
      <c r="H439" s="4"/>
      <c r="I439" s="4"/>
      <c r="J439" s="4"/>
      <c r="K439" s="4"/>
    </row>
    <row r="440" spans="2:11" ht="12.75">
      <c r="B440" s="1"/>
      <c r="D440" s="4"/>
      <c r="E440" s="4"/>
      <c r="F440" s="4"/>
      <c r="G440" s="4"/>
      <c r="H440" s="4"/>
      <c r="I440" s="4"/>
      <c r="J440" s="4"/>
      <c r="K440" s="4"/>
    </row>
    <row r="441" spans="2:11" ht="12.75">
      <c r="B441" s="1"/>
      <c r="D441" s="4"/>
      <c r="E441" s="4"/>
      <c r="F441" s="4"/>
      <c r="G441" s="4"/>
      <c r="H441" s="4"/>
      <c r="I441" s="4"/>
      <c r="J441" s="4"/>
      <c r="K441" s="4"/>
    </row>
    <row r="442" spans="2:11" ht="12.75">
      <c r="B442" s="1"/>
      <c r="D442" s="4"/>
      <c r="E442" s="4"/>
      <c r="F442" s="4"/>
      <c r="G442" s="4"/>
      <c r="H442" s="4"/>
      <c r="I442" s="4"/>
      <c r="J442" s="4"/>
      <c r="K442" s="4"/>
    </row>
    <row r="443" spans="2:11" ht="12.75">
      <c r="B443" s="1"/>
      <c r="D443" s="4"/>
      <c r="E443" s="4"/>
      <c r="F443" s="4"/>
      <c r="G443" s="4"/>
      <c r="H443" s="4"/>
      <c r="I443" s="4"/>
      <c r="J443" s="4"/>
      <c r="K443" s="4"/>
    </row>
    <row r="444" spans="2:11" ht="12.75">
      <c r="B444" s="1"/>
      <c r="D444" s="4"/>
      <c r="E444" s="4"/>
      <c r="F444" s="4"/>
      <c r="G444" s="4"/>
      <c r="H444" s="4"/>
      <c r="I444" s="4"/>
      <c r="J444" s="4"/>
      <c r="K444" s="4"/>
    </row>
    <row r="445" spans="2:11" ht="12.75">
      <c r="B445" s="1"/>
      <c r="D445" s="4"/>
      <c r="E445" s="4"/>
      <c r="F445" s="4"/>
      <c r="G445" s="4"/>
      <c r="H445" s="4"/>
      <c r="I445" s="4"/>
      <c r="J445" s="4"/>
      <c r="K445" s="4"/>
    </row>
    <row r="446" spans="2:11" ht="12.75">
      <c r="B446" s="1"/>
      <c r="D446" s="4"/>
      <c r="E446" s="4"/>
      <c r="F446" s="4"/>
      <c r="G446" s="4"/>
      <c r="H446" s="4"/>
      <c r="I446" s="4"/>
      <c r="J446" s="4"/>
      <c r="K446" s="4"/>
    </row>
    <row r="447" spans="2:11" ht="12.75">
      <c r="B447" s="1"/>
      <c r="D447" s="4"/>
      <c r="E447" s="4"/>
      <c r="F447" s="4"/>
      <c r="G447" s="4"/>
      <c r="H447" s="4"/>
      <c r="I447" s="4"/>
      <c r="J447" s="4"/>
      <c r="K447" s="4"/>
    </row>
    <row r="448" spans="2:11" ht="12.75">
      <c r="B448" s="1"/>
      <c r="D448" s="4"/>
      <c r="E448" s="4"/>
      <c r="F448" s="4"/>
      <c r="G448" s="4"/>
      <c r="H448" s="4"/>
      <c r="I448" s="4"/>
      <c r="J448" s="4"/>
      <c r="K448" s="4"/>
    </row>
    <row r="449" spans="2:11" ht="12.75">
      <c r="B449" s="1"/>
      <c r="D449" s="4"/>
      <c r="E449" s="4"/>
      <c r="F449" s="4"/>
      <c r="G449" s="4"/>
      <c r="H449" s="4"/>
      <c r="I449" s="4"/>
      <c r="J449" s="4"/>
      <c r="K449" s="4"/>
    </row>
    <row r="450" spans="2:11" ht="12.75">
      <c r="B450" s="1"/>
      <c r="D450" s="4"/>
      <c r="E450" s="4"/>
      <c r="F450" s="4"/>
      <c r="G450" s="4"/>
      <c r="H450" s="4"/>
      <c r="I450" s="4"/>
      <c r="J450" s="4"/>
      <c r="K450" s="4"/>
    </row>
    <row r="451" spans="2:11" ht="12.75">
      <c r="B451" s="1"/>
      <c r="D451" s="4"/>
      <c r="E451" s="4"/>
      <c r="F451" s="4"/>
      <c r="G451" s="4"/>
      <c r="H451" s="4"/>
      <c r="I451" s="4"/>
      <c r="J451" s="4"/>
      <c r="K451" s="4"/>
    </row>
    <row r="452" spans="2:11" ht="12.75">
      <c r="B452" s="1"/>
      <c r="D452" s="4"/>
      <c r="E452" s="4"/>
      <c r="F452" s="4"/>
      <c r="G452" s="4"/>
      <c r="H452" s="4"/>
      <c r="I452" s="4"/>
      <c r="J452" s="4"/>
      <c r="K452" s="4"/>
    </row>
    <row r="453" spans="2:11" ht="12.75">
      <c r="B453" s="1"/>
      <c r="D453" s="4"/>
      <c r="E453" s="4"/>
      <c r="F453" s="4"/>
      <c r="G453" s="4"/>
      <c r="H453" s="4"/>
      <c r="I453" s="4"/>
      <c r="J453" s="4"/>
      <c r="K453" s="4"/>
    </row>
    <row r="454" spans="2:11" ht="12.75">
      <c r="B454" s="1"/>
      <c r="D454" s="4"/>
      <c r="E454" s="4"/>
      <c r="F454" s="4"/>
      <c r="G454" s="4"/>
      <c r="H454" s="4"/>
      <c r="I454" s="4"/>
      <c r="J454" s="4"/>
      <c r="K454" s="4"/>
    </row>
    <row r="455" spans="2:11" ht="12.75">
      <c r="B455" s="1"/>
      <c r="D455" s="4"/>
      <c r="E455" s="4"/>
      <c r="F455" s="4"/>
      <c r="G455" s="4"/>
      <c r="H455" s="4"/>
      <c r="I455" s="4"/>
      <c r="J455" s="4"/>
      <c r="K455" s="4"/>
    </row>
    <row r="456" spans="2:11" ht="12.75">
      <c r="B456" s="1"/>
      <c r="D456" s="4"/>
      <c r="E456" s="4"/>
      <c r="F456" s="4"/>
      <c r="G456" s="4"/>
      <c r="H456" s="4"/>
      <c r="I456" s="4"/>
      <c r="J456" s="4"/>
      <c r="K456" s="4"/>
    </row>
    <row r="457" spans="2:11" ht="12.75">
      <c r="B457" s="1"/>
      <c r="D457" s="4"/>
      <c r="E457" s="4"/>
      <c r="F457" s="4"/>
      <c r="G457" s="4"/>
      <c r="H457" s="4"/>
      <c r="I457" s="4"/>
      <c r="J457" s="4"/>
      <c r="K457" s="4"/>
    </row>
    <row r="458" spans="2:11" ht="12.75">
      <c r="B458" s="1"/>
      <c r="D458" s="4"/>
      <c r="E458" s="4"/>
      <c r="F458" s="4"/>
      <c r="G458" s="4"/>
      <c r="H458" s="4"/>
      <c r="I458" s="4"/>
      <c r="J458" s="4"/>
      <c r="K458" s="4"/>
    </row>
    <row r="459" spans="2:11" ht="12.75">
      <c r="B459" s="1"/>
      <c r="D459" s="4"/>
      <c r="E459" s="4"/>
      <c r="F459" s="4"/>
      <c r="G459" s="4"/>
      <c r="H459" s="4"/>
      <c r="I459" s="4"/>
      <c r="J459" s="4"/>
      <c r="K459" s="4"/>
    </row>
    <row r="460" spans="2:11" ht="12.75">
      <c r="B460" s="1"/>
      <c r="D460" s="4"/>
      <c r="E460" s="4"/>
      <c r="F460" s="4"/>
      <c r="G460" s="4"/>
      <c r="H460" s="4"/>
      <c r="I460" s="4"/>
      <c r="J460" s="4"/>
      <c r="K460" s="4"/>
    </row>
    <row r="461" spans="2:11" ht="12.75">
      <c r="B461" s="1"/>
      <c r="D461" s="4"/>
      <c r="E461" s="4"/>
      <c r="F461" s="4"/>
      <c r="G461" s="4"/>
      <c r="H461" s="4"/>
      <c r="I461" s="4"/>
      <c r="J461" s="4"/>
      <c r="K461" s="4"/>
    </row>
    <row r="462" spans="2:11" ht="12.75">
      <c r="B462" s="1"/>
      <c r="D462" s="4"/>
      <c r="E462" s="4"/>
      <c r="F462" s="4"/>
      <c r="G462" s="4"/>
      <c r="H462" s="4"/>
      <c r="I462" s="4"/>
      <c r="J462" s="4"/>
      <c r="K462" s="4"/>
    </row>
    <row r="463" spans="2:11" ht="12.75">
      <c r="B463" s="1"/>
      <c r="D463" s="4"/>
      <c r="E463" s="4"/>
      <c r="F463" s="4"/>
      <c r="G463" s="4"/>
      <c r="H463" s="4"/>
      <c r="I463" s="4"/>
      <c r="J463" s="4"/>
      <c r="K463" s="4"/>
    </row>
    <row r="464" spans="2:11" ht="12.75">
      <c r="B464" s="1"/>
      <c r="D464" s="4"/>
      <c r="E464" s="4"/>
      <c r="F464" s="4"/>
      <c r="G464" s="4"/>
      <c r="H464" s="4"/>
      <c r="I464" s="4"/>
      <c r="J464" s="4"/>
      <c r="K464" s="4"/>
    </row>
    <row r="465" spans="2:11" ht="12.75">
      <c r="B465" s="1"/>
      <c r="D465" s="4"/>
      <c r="E465" s="4"/>
      <c r="F465" s="4"/>
      <c r="G465" s="4"/>
      <c r="H465" s="4"/>
      <c r="I465" s="4"/>
      <c r="J465" s="4"/>
      <c r="K465" s="4"/>
    </row>
    <row r="466" spans="2:11" ht="12.75">
      <c r="B466" s="1"/>
      <c r="D466" s="4"/>
      <c r="E466" s="4"/>
      <c r="F466" s="4"/>
      <c r="G466" s="4"/>
      <c r="H466" s="4"/>
      <c r="I466" s="4"/>
      <c r="J466" s="4"/>
      <c r="K466" s="4"/>
    </row>
    <row r="467" spans="2:11" ht="12.75">
      <c r="B467" s="1"/>
      <c r="D467" s="4"/>
      <c r="E467" s="4"/>
      <c r="F467" s="4"/>
      <c r="G467" s="4"/>
      <c r="H467" s="4"/>
      <c r="I467" s="4"/>
      <c r="J467" s="4"/>
      <c r="K467" s="4"/>
    </row>
    <row r="468" spans="2:11" ht="12.75">
      <c r="B468" s="1"/>
      <c r="D468" s="4"/>
      <c r="E468" s="4"/>
      <c r="F468" s="4"/>
      <c r="G468" s="4"/>
      <c r="H468" s="4"/>
      <c r="I468" s="4"/>
      <c r="J468" s="4"/>
      <c r="K468" s="4"/>
    </row>
    <row r="469" spans="2:11" ht="12.75">
      <c r="B469" s="1"/>
      <c r="D469" s="4"/>
      <c r="E469" s="4"/>
      <c r="F469" s="4"/>
      <c r="G469" s="4"/>
      <c r="H469" s="4"/>
      <c r="I469" s="4"/>
      <c r="J469" s="4"/>
      <c r="K469" s="4"/>
    </row>
    <row r="470" spans="2:11" ht="12.75">
      <c r="B470" s="1"/>
      <c r="D470" s="4"/>
      <c r="E470" s="4"/>
      <c r="F470" s="4"/>
      <c r="G470" s="4"/>
      <c r="H470" s="4"/>
      <c r="I470" s="4"/>
      <c r="J470" s="4"/>
      <c r="K470" s="4"/>
    </row>
    <row r="471" spans="2:11" ht="12.75">
      <c r="B471" s="1"/>
      <c r="D471" s="4"/>
      <c r="E471" s="4"/>
      <c r="F471" s="4"/>
      <c r="G471" s="4"/>
      <c r="H471" s="4"/>
      <c r="I471" s="4"/>
      <c r="J471" s="4"/>
      <c r="K471" s="4"/>
    </row>
    <row r="472" spans="2:11" ht="12.75">
      <c r="B472" s="1"/>
      <c r="D472" s="4"/>
      <c r="E472" s="4"/>
      <c r="F472" s="4"/>
      <c r="G472" s="4"/>
      <c r="H472" s="4"/>
      <c r="I472" s="4"/>
      <c r="J472" s="4"/>
      <c r="K472" s="4"/>
    </row>
    <row r="473" spans="2:11" ht="12.75">
      <c r="B473" s="1"/>
      <c r="D473" s="4"/>
      <c r="E473" s="4"/>
      <c r="F473" s="4"/>
      <c r="G473" s="4"/>
      <c r="H473" s="4"/>
      <c r="I473" s="4"/>
      <c r="J473" s="4"/>
      <c r="K473" s="4"/>
    </row>
    <row r="474" spans="2:11" ht="12.75">
      <c r="B474" s="1"/>
      <c r="D474" s="4"/>
      <c r="E474" s="4"/>
      <c r="F474" s="4"/>
      <c r="G474" s="4"/>
      <c r="H474" s="4"/>
      <c r="I474" s="4"/>
      <c r="J474" s="4"/>
      <c r="K474" s="4"/>
    </row>
    <row r="475" spans="2:11" ht="12.75">
      <c r="B475" s="1"/>
      <c r="D475" s="4"/>
      <c r="E475" s="4"/>
      <c r="F475" s="4"/>
      <c r="G475" s="4"/>
      <c r="H475" s="4"/>
      <c r="I475" s="4"/>
      <c r="J475" s="4"/>
      <c r="K475" s="4"/>
    </row>
    <row r="476" spans="2:11" ht="12.75">
      <c r="B476" s="1"/>
      <c r="D476" s="4"/>
      <c r="E476" s="4"/>
      <c r="F476" s="4"/>
      <c r="G476" s="4"/>
      <c r="H476" s="4"/>
      <c r="I476" s="4"/>
      <c r="J476" s="4"/>
      <c r="K476" s="4"/>
    </row>
    <row r="477" spans="2:11" ht="12.75">
      <c r="B477" s="1"/>
      <c r="D477" s="4"/>
      <c r="E477" s="4"/>
      <c r="F477" s="4"/>
      <c r="G477" s="4"/>
      <c r="H477" s="4"/>
      <c r="I477" s="4"/>
      <c r="J477" s="4"/>
      <c r="K477" s="4"/>
    </row>
    <row r="478" spans="2:11" ht="12.75">
      <c r="B478" s="1"/>
      <c r="D478" s="4"/>
      <c r="E478" s="4"/>
      <c r="F478" s="4"/>
      <c r="G478" s="4"/>
      <c r="H478" s="4"/>
      <c r="I478" s="4"/>
      <c r="J478" s="4"/>
      <c r="K478" s="4"/>
    </row>
    <row r="479" spans="2:11" ht="12.75">
      <c r="B479" s="1"/>
      <c r="D479" s="4"/>
      <c r="E479" s="4"/>
      <c r="F479" s="4"/>
      <c r="G479" s="4"/>
      <c r="H479" s="4"/>
      <c r="I479" s="4"/>
      <c r="J479" s="4"/>
      <c r="K479" s="4"/>
    </row>
    <row r="480" spans="2:11" ht="12.75">
      <c r="B480" s="1"/>
      <c r="D480" s="4"/>
      <c r="E480" s="4"/>
      <c r="F480" s="4"/>
      <c r="G480" s="4"/>
      <c r="H480" s="4"/>
      <c r="I480" s="4"/>
      <c r="J480" s="4"/>
      <c r="K480" s="4"/>
    </row>
    <row r="481" spans="2:11" ht="12.75">
      <c r="B481" s="1"/>
      <c r="D481" s="4"/>
      <c r="E481" s="4"/>
      <c r="F481" s="4"/>
      <c r="G481" s="4"/>
      <c r="H481" s="4"/>
      <c r="I481" s="4"/>
      <c r="J481" s="4"/>
      <c r="K481" s="4"/>
    </row>
    <row r="482" spans="2:11" ht="12.75">
      <c r="B482" s="1"/>
      <c r="D482" s="4"/>
      <c r="E482" s="4"/>
      <c r="F482" s="4"/>
      <c r="G482" s="4"/>
      <c r="H482" s="4"/>
      <c r="I482" s="4"/>
      <c r="J482" s="4"/>
      <c r="K482" s="4"/>
    </row>
    <row r="483" spans="2:11" ht="12.75">
      <c r="B483" s="1"/>
      <c r="D483" s="4"/>
      <c r="E483" s="4"/>
      <c r="F483" s="4"/>
      <c r="G483" s="4"/>
      <c r="H483" s="4"/>
      <c r="I483" s="4"/>
      <c r="J483" s="4"/>
      <c r="K483" s="4"/>
    </row>
    <row r="484" spans="2:11" ht="12.75">
      <c r="B484" s="1"/>
      <c r="D484" s="4"/>
      <c r="E484" s="4"/>
      <c r="F484" s="4"/>
      <c r="G484" s="4"/>
      <c r="H484" s="4"/>
      <c r="I484" s="4"/>
      <c r="J484" s="4"/>
      <c r="K484" s="4"/>
    </row>
    <row r="485" spans="2:11" ht="12.75">
      <c r="B485" s="1"/>
      <c r="D485" s="4"/>
      <c r="E485" s="4"/>
      <c r="F485" s="4"/>
      <c r="G485" s="4"/>
      <c r="H485" s="4"/>
      <c r="I485" s="4"/>
      <c r="J485" s="4"/>
      <c r="K485" s="4"/>
    </row>
    <row r="486" spans="2:11" ht="12.75">
      <c r="B486" s="1"/>
      <c r="D486" s="4"/>
      <c r="E486" s="4"/>
      <c r="F486" s="4"/>
      <c r="G486" s="4"/>
      <c r="H486" s="4"/>
      <c r="I486" s="4"/>
      <c r="J486" s="4"/>
      <c r="K486" s="4"/>
    </row>
    <row r="487" spans="2:11" ht="12.75">
      <c r="B487" s="1"/>
      <c r="D487" s="4"/>
      <c r="E487" s="4"/>
      <c r="F487" s="4"/>
      <c r="G487" s="4"/>
      <c r="H487" s="4"/>
      <c r="I487" s="4"/>
      <c r="J487" s="4"/>
      <c r="K487" s="4"/>
    </row>
    <row r="488" spans="2:11" ht="12.75">
      <c r="B488" s="1"/>
      <c r="D488" s="4"/>
      <c r="E488" s="4"/>
      <c r="F488" s="4"/>
      <c r="G488" s="4"/>
      <c r="H488" s="4"/>
      <c r="I488" s="4"/>
      <c r="J488" s="4"/>
      <c r="K488" s="4"/>
    </row>
    <row r="489" spans="2:11" ht="12.75">
      <c r="B489" s="1"/>
      <c r="D489" s="4"/>
      <c r="E489" s="4"/>
      <c r="F489" s="4"/>
      <c r="G489" s="4"/>
      <c r="H489" s="4"/>
      <c r="I489" s="4"/>
      <c r="J489" s="4"/>
      <c r="K489" s="4"/>
    </row>
    <row r="490" spans="2:11" ht="12.75">
      <c r="B490" s="1"/>
      <c r="D490" s="4"/>
      <c r="E490" s="4"/>
      <c r="F490" s="4"/>
      <c r="G490" s="4"/>
      <c r="H490" s="4"/>
      <c r="I490" s="4"/>
      <c r="J490" s="4"/>
      <c r="K490" s="4"/>
    </row>
    <row r="491" spans="2:11" ht="12.75">
      <c r="B491" s="1"/>
      <c r="D491" s="4"/>
      <c r="E491" s="4"/>
      <c r="F491" s="4"/>
      <c r="G491" s="4"/>
      <c r="H491" s="4"/>
      <c r="I491" s="4"/>
      <c r="J491" s="4"/>
      <c r="K491" s="4"/>
    </row>
    <row r="492" spans="2:11" ht="12.75">
      <c r="B492" s="1"/>
      <c r="D492" s="4"/>
      <c r="E492" s="4"/>
      <c r="F492" s="4"/>
      <c r="G492" s="4"/>
      <c r="H492" s="4"/>
      <c r="I492" s="4"/>
      <c r="J492" s="4"/>
      <c r="K492" s="4"/>
    </row>
    <row r="493" spans="2:11" ht="12.75">
      <c r="B493" s="1"/>
      <c r="D493" s="4"/>
      <c r="E493" s="4"/>
      <c r="F493" s="4"/>
      <c r="G493" s="4"/>
      <c r="H493" s="4"/>
      <c r="I493" s="4"/>
      <c r="J493" s="4"/>
      <c r="K493" s="4"/>
    </row>
    <row r="494" spans="2:11" ht="12.75">
      <c r="B494" s="1"/>
      <c r="D494" s="4"/>
      <c r="E494" s="4"/>
      <c r="F494" s="4"/>
      <c r="G494" s="4"/>
      <c r="H494" s="4"/>
      <c r="I494" s="4"/>
      <c r="J494" s="4"/>
      <c r="K494" s="4"/>
    </row>
    <row r="495" spans="2:11" ht="12.75">
      <c r="B495" s="1"/>
      <c r="D495" s="4"/>
      <c r="E495" s="4"/>
      <c r="F495" s="4"/>
      <c r="G495" s="4"/>
      <c r="H495" s="4"/>
      <c r="I495" s="4"/>
      <c r="J495" s="4"/>
      <c r="K495" s="4"/>
    </row>
    <row r="496" spans="2:11" ht="12.75">
      <c r="B496" s="1"/>
      <c r="D496" s="4"/>
      <c r="E496" s="4"/>
      <c r="F496" s="4"/>
      <c r="G496" s="4"/>
      <c r="H496" s="4"/>
      <c r="I496" s="4"/>
      <c r="J496" s="4"/>
      <c r="K496" s="4"/>
    </row>
    <row r="497" spans="2:11" ht="12.75">
      <c r="B497" s="1"/>
      <c r="D497" s="4"/>
      <c r="E497" s="4"/>
      <c r="F497" s="4"/>
      <c r="G497" s="4"/>
      <c r="H497" s="4"/>
      <c r="I497" s="4"/>
      <c r="J497" s="4"/>
      <c r="K497" s="4"/>
    </row>
    <row r="498" spans="2:11" ht="12.75">
      <c r="B498" s="1"/>
      <c r="D498" s="4"/>
      <c r="E498" s="4"/>
      <c r="F498" s="4"/>
      <c r="G498" s="4"/>
      <c r="H498" s="4"/>
      <c r="I498" s="4"/>
      <c r="J498" s="4"/>
      <c r="K498" s="4"/>
    </row>
    <row r="499" spans="2:11" ht="12.75">
      <c r="B499" s="1"/>
      <c r="D499" s="4"/>
      <c r="E499" s="4"/>
      <c r="F499" s="4"/>
      <c r="G499" s="4"/>
      <c r="H499" s="4"/>
      <c r="I499" s="4"/>
      <c r="J499" s="4"/>
      <c r="K499" s="4"/>
    </row>
    <row r="500" spans="2:11" ht="12.75">
      <c r="B500" s="1"/>
      <c r="D500" s="4"/>
      <c r="E500" s="4"/>
      <c r="F500" s="4"/>
      <c r="G500" s="4"/>
      <c r="H500" s="4"/>
      <c r="I500" s="4"/>
      <c r="J500" s="4"/>
      <c r="K500" s="4"/>
    </row>
    <row r="501" spans="2:11" ht="12.75">
      <c r="B501" s="1"/>
      <c r="D501" s="4"/>
      <c r="E501" s="4"/>
      <c r="F501" s="4"/>
      <c r="G501" s="4"/>
      <c r="H501" s="4"/>
      <c r="I501" s="4"/>
      <c r="J501" s="4"/>
      <c r="K501" s="4"/>
    </row>
    <row r="502" spans="2:11" ht="12.75">
      <c r="B502" s="1"/>
      <c r="D502" s="4"/>
      <c r="E502" s="4"/>
      <c r="F502" s="4"/>
      <c r="G502" s="4"/>
      <c r="H502" s="4"/>
      <c r="I502" s="4"/>
      <c r="J502" s="4"/>
      <c r="K502" s="4"/>
    </row>
    <row r="503" spans="2:11" ht="12.75">
      <c r="B503" s="1"/>
      <c r="D503" s="4"/>
      <c r="E503" s="4"/>
      <c r="F503" s="4"/>
      <c r="G503" s="4"/>
      <c r="H503" s="4"/>
      <c r="I503" s="4"/>
      <c r="J503" s="4"/>
      <c r="K503" s="4"/>
    </row>
    <row r="504" spans="2:11" ht="12.75">
      <c r="B504" s="1"/>
      <c r="D504" s="4"/>
      <c r="E504" s="4"/>
      <c r="F504" s="4"/>
      <c r="G504" s="4"/>
      <c r="H504" s="4"/>
      <c r="I504" s="4"/>
      <c r="J504" s="4"/>
      <c r="K504" s="4"/>
    </row>
    <row r="505" spans="2:11" ht="12.75">
      <c r="B505" s="1"/>
      <c r="D505" s="4"/>
      <c r="E505" s="4"/>
      <c r="F505" s="4"/>
      <c r="G505" s="4"/>
      <c r="H505" s="4"/>
      <c r="I505" s="4"/>
      <c r="J505" s="4"/>
      <c r="K505" s="4"/>
    </row>
    <row r="506" spans="2:11" ht="12.75">
      <c r="B506" s="1"/>
      <c r="D506" s="4"/>
      <c r="E506" s="4"/>
      <c r="F506" s="4"/>
      <c r="G506" s="4"/>
      <c r="H506" s="4"/>
      <c r="I506" s="4"/>
      <c r="J506" s="4"/>
      <c r="K506" s="4"/>
    </row>
    <row r="507" spans="2:11" ht="12.75">
      <c r="B507" s="1"/>
      <c r="D507" s="4"/>
      <c r="E507" s="4"/>
      <c r="F507" s="4"/>
      <c r="G507" s="4"/>
      <c r="H507" s="4"/>
      <c r="I507" s="4"/>
      <c r="J507" s="4"/>
      <c r="K507" s="4"/>
    </row>
    <row r="508" spans="2:11" ht="12.75">
      <c r="B508" s="1"/>
      <c r="D508" s="4"/>
      <c r="E508" s="4"/>
      <c r="F508" s="4"/>
      <c r="G508" s="4"/>
      <c r="H508" s="4"/>
      <c r="I508" s="4"/>
      <c r="J508" s="4"/>
      <c r="K508" s="4"/>
    </row>
    <row r="509" spans="2:11" ht="12.75">
      <c r="B509" s="1"/>
      <c r="D509" s="4"/>
      <c r="E509" s="4"/>
      <c r="F509" s="4"/>
      <c r="G509" s="4"/>
      <c r="H509" s="4"/>
      <c r="I509" s="4"/>
      <c r="J509" s="4"/>
      <c r="K509" s="4"/>
    </row>
    <row r="510" spans="2:11" ht="12.75">
      <c r="B510" s="1"/>
      <c r="D510" s="4"/>
      <c r="E510" s="4"/>
      <c r="F510" s="4"/>
      <c r="G510" s="4"/>
      <c r="H510" s="4"/>
      <c r="I510" s="4"/>
      <c r="J510" s="4"/>
      <c r="K510" s="4"/>
    </row>
    <row r="511" spans="2:11" ht="12.75">
      <c r="B511" s="1"/>
      <c r="D511" s="4"/>
      <c r="E511" s="4"/>
      <c r="F511" s="4"/>
      <c r="G511" s="4"/>
      <c r="H511" s="4"/>
      <c r="I511" s="4"/>
      <c r="J511" s="4"/>
      <c r="K511" s="4"/>
    </row>
    <row r="512" spans="2:11" ht="12.75">
      <c r="B512" s="1"/>
      <c r="D512" s="4"/>
      <c r="E512" s="4"/>
      <c r="F512" s="4"/>
      <c r="G512" s="4"/>
      <c r="H512" s="4"/>
      <c r="I512" s="4"/>
      <c r="J512" s="4"/>
      <c r="K512" s="4"/>
    </row>
    <row r="513" spans="2:11" ht="12.75">
      <c r="B513" s="1"/>
      <c r="D513" s="4"/>
      <c r="E513" s="4"/>
      <c r="F513" s="4"/>
      <c r="G513" s="4"/>
      <c r="H513" s="4"/>
      <c r="I513" s="4"/>
      <c r="J513" s="4"/>
      <c r="K513" s="4"/>
    </row>
    <row r="514" spans="2:11" ht="12.75">
      <c r="B514" s="1"/>
      <c r="D514" s="4"/>
      <c r="E514" s="4"/>
      <c r="F514" s="4"/>
      <c r="G514" s="4"/>
      <c r="H514" s="4"/>
      <c r="I514" s="4"/>
      <c r="J514" s="4"/>
      <c r="K514" s="4"/>
    </row>
    <row r="515" spans="2:11" ht="12.75">
      <c r="B515" s="1"/>
      <c r="D515" s="4"/>
      <c r="E515" s="4"/>
      <c r="F515" s="4"/>
      <c r="G515" s="4"/>
      <c r="H515" s="4"/>
      <c r="I515" s="4"/>
      <c r="J515" s="4"/>
      <c r="K515" s="4"/>
    </row>
    <row r="516" spans="2:11" ht="12.75">
      <c r="B516" s="1"/>
      <c r="D516" s="4"/>
      <c r="E516" s="4"/>
      <c r="F516" s="4"/>
      <c r="G516" s="4"/>
      <c r="H516" s="4"/>
      <c r="I516" s="4"/>
      <c r="J516" s="4"/>
      <c r="K516" s="4"/>
    </row>
    <row r="517" spans="2:11" ht="12.75">
      <c r="B517" s="1"/>
      <c r="D517" s="4"/>
      <c r="E517" s="4"/>
      <c r="F517" s="4"/>
      <c r="G517" s="4"/>
      <c r="H517" s="4"/>
      <c r="I517" s="4"/>
      <c r="J517" s="4"/>
      <c r="K517" s="4"/>
    </row>
    <row r="518" spans="2:11" ht="12.75">
      <c r="B518" s="1"/>
      <c r="D518" s="4"/>
      <c r="E518" s="4"/>
      <c r="F518" s="4"/>
      <c r="G518" s="4"/>
      <c r="H518" s="4"/>
      <c r="I518" s="4"/>
      <c r="J518" s="4"/>
      <c r="K518" s="4"/>
    </row>
    <row r="519" spans="2:11" ht="12.75">
      <c r="B519" s="1"/>
      <c r="D519" s="4"/>
      <c r="E519" s="4"/>
      <c r="F519" s="4"/>
      <c r="G519" s="4"/>
      <c r="H519" s="4"/>
      <c r="I519" s="4"/>
      <c r="J519" s="4"/>
      <c r="K519" s="4"/>
    </row>
    <row r="520" spans="2:11" ht="12.75">
      <c r="B520" s="1"/>
      <c r="D520" s="4"/>
      <c r="E520" s="4"/>
      <c r="F520" s="4"/>
      <c r="G520" s="4"/>
      <c r="H520" s="4"/>
      <c r="I520" s="4"/>
      <c r="J520" s="4"/>
      <c r="K520" s="4"/>
    </row>
    <row r="521" spans="2:11" ht="12.75">
      <c r="B521" s="1"/>
      <c r="D521" s="4"/>
      <c r="E521" s="4"/>
      <c r="F521" s="4"/>
      <c r="G521" s="4"/>
      <c r="H521" s="4"/>
      <c r="I521" s="4"/>
      <c r="J521" s="4"/>
      <c r="K521" s="4"/>
    </row>
    <row r="522" spans="2:11" ht="12.75">
      <c r="B522" s="1"/>
      <c r="D522" s="4"/>
      <c r="E522" s="4"/>
      <c r="F522" s="4"/>
      <c r="G522" s="4"/>
      <c r="H522" s="4"/>
      <c r="I522" s="4"/>
      <c r="J522" s="4"/>
      <c r="K522" s="4"/>
    </row>
    <row r="523" spans="2:11" ht="12.75">
      <c r="B523" s="1"/>
      <c r="D523" s="4"/>
      <c r="E523" s="4"/>
      <c r="F523" s="4"/>
      <c r="G523" s="4"/>
      <c r="H523" s="4"/>
      <c r="I523" s="4"/>
      <c r="J523" s="4"/>
      <c r="K523" s="4"/>
    </row>
    <row r="524" spans="2:11" ht="12.75">
      <c r="B524" s="1"/>
      <c r="D524" s="4"/>
      <c r="E524" s="4"/>
      <c r="F524" s="4"/>
      <c r="G524" s="4"/>
      <c r="H524" s="4"/>
      <c r="I524" s="4"/>
      <c r="J524" s="4"/>
      <c r="K524" s="4"/>
    </row>
    <row r="525" spans="2:11" ht="12.75">
      <c r="B525" s="1"/>
      <c r="D525" s="4"/>
      <c r="E525" s="4"/>
      <c r="F525" s="4"/>
      <c r="G525" s="4"/>
      <c r="H525" s="4"/>
      <c r="I525" s="4"/>
      <c r="J525" s="4"/>
      <c r="K525" s="4"/>
    </row>
    <row r="526" spans="2:11" ht="12.75">
      <c r="B526" s="1"/>
      <c r="D526" s="4"/>
      <c r="E526" s="4"/>
      <c r="F526" s="4"/>
      <c r="G526" s="4"/>
      <c r="H526" s="4"/>
      <c r="I526" s="4"/>
      <c r="J526" s="4"/>
      <c r="K526" s="4"/>
    </row>
    <row r="527" spans="2:11" ht="12.75">
      <c r="B527" s="1"/>
      <c r="D527" s="4"/>
      <c r="E527" s="4"/>
      <c r="F527" s="4"/>
      <c r="G527" s="4"/>
      <c r="H527" s="4"/>
      <c r="I527" s="4"/>
      <c r="J527" s="4"/>
      <c r="K527" s="4"/>
    </row>
    <row r="528" spans="2:11" ht="12.75">
      <c r="B528" s="1"/>
      <c r="D528" s="4"/>
      <c r="E528" s="4"/>
      <c r="F528" s="4"/>
      <c r="G528" s="4"/>
      <c r="H528" s="4"/>
      <c r="I528" s="4"/>
      <c r="J528" s="4"/>
      <c r="K528" s="4"/>
    </row>
    <row r="529" spans="2:11" ht="12.75">
      <c r="B529" s="1"/>
      <c r="D529" s="4"/>
      <c r="E529" s="4"/>
      <c r="F529" s="4"/>
      <c r="G529" s="4"/>
      <c r="H529" s="4"/>
      <c r="I529" s="4"/>
      <c r="J529" s="4"/>
      <c r="K529" s="4"/>
    </row>
    <row r="530" spans="2:11" ht="12.75">
      <c r="B530" s="1"/>
      <c r="D530" s="4"/>
      <c r="E530" s="4"/>
      <c r="F530" s="4"/>
      <c r="G530" s="4"/>
      <c r="H530" s="4"/>
      <c r="I530" s="4"/>
      <c r="J530" s="4"/>
      <c r="K530" s="4"/>
    </row>
    <row r="531" spans="2:11" ht="12.75">
      <c r="B531" s="1"/>
      <c r="D531" s="4"/>
      <c r="E531" s="4"/>
      <c r="F531" s="4"/>
      <c r="G531" s="4"/>
      <c r="H531" s="4"/>
      <c r="I531" s="4"/>
      <c r="J531" s="4"/>
      <c r="K531" s="4"/>
    </row>
    <row r="532" spans="2:11" ht="12.75">
      <c r="B532" s="1"/>
      <c r="D532" s="4"/>
      <c r="E532" s="4"/>
      <c r="F532" s="4"/>
      <c r="G532" s="4"/>
      <c r="H532" s="4"/>
      <c r="I532" s="4"/>
      <c r="J532" s="4"/>
      <c r="K532" s="4"/>
    </row>
    <row r="533" spans="2:11" ht="12.75">
      <c r="B533" s="1"/>
      <c r="D533" s="4"/>
      <c r="E533" s="4"/>
      <c r="F533" s="4"/>
      <c r="G533" s="4"/>
      <c r="H533" s="4"/>
      <c r="I533" s="4"/>
      <c r="J533" s="4"/>
      <c r="K533" s="4"/>
    </row>
    <row r="534" spans="2:11" ht="12.75">
      <c r="B534" s="1"/>
      <c r="D534" s="4"/>
      <c r="E534" s="4"/>
      <c r="F534" s="4"/>
      <c r="G534" s="4"/>
      <c r="H534" s="4"/>
      <c r="I534" s="4"/>
      <c r="J534" s="4"/>
      <c r="K534" s="4"/>
    </row>
    <row r="535" spans="2:11" ht="12.75">
      <c r="B535" s="1"/>
      <c r="D535" s="4"/>
      <c r="E535" s="4"/>
      <c r="F535" s="4"/>
      <c r="G535" s="4"/>
      <c r="H535" s="4"/>
      <c r="I535" s="4"/>
      <c r="J535" s="4"/>
      <c r="K535" s="4"/>
    </row>
    <row r="536" spans="2:11" ht="12.75">
      <c r="B536" s="1"/>
      <c r="D536" s="4"/>
      <c r="E536" s="4"/>
      <c r="F536" s="4"/>
      <c r="G536" s="4"/>
      <c r="H536" s="4"/>
      <c r="I536" s="4"/>
      <c r="J536" s="4"/>
      <c r="K536" s="4"/>
    </row>
    <row r="537" spans="2:11" ht="12.75">
      <c r="B537" s="1"/>
      <c r="D537" s="4"/>
      <c r="E537" s="4"/>
      <c r="F537" s="4"/>
      <c r="G537" s="4"/>
      <c r="H537" s="4"/>
      <c r="I537" s="4"/>
      <c r="J537" s="4"/>
      <c r="K537" s="4"/>
    </row>
    <row r="538" spans="2:11" ht="12.75">
      <c r="B538" s="1"/>
      <c r="D538" s="4"/>
      <c r="E538" s="4"/>
      <c r="F538" s="4"/>
      <c r="G538" s="4"/>
      <c r="H538" s="4"/>
      <c r="I538" s="4"/>
      <c r="J538" s="4"/>
      <c r="K538" s="4"/>
    </row>
    <row r="539" spans="2:11" ht="12.75">
      <c r="B539" s="1"/>
      <c r="D539" s="4"/>
      <c r="E539" s="4"/>
      <c r="F539" s="4"/>
      <c r="G539" s="4"/>
      <c r="H539" s="4"/>
      <c r="I539" s="4"/>
      <c r="J539" s="4"/>
      <c r="K539" s="4"/>
    </row>
    <row r="540" spans="2:11" ht="12.75">
      <c r="B540" s="1"/>
      <c r="D540" s="4"/>
      <c r="E540" s="4"/>
      <c r="F540" s="4"/>
      <c r="G540" s="4"/>
      <c r="H540" s="4"/>
      <c r="I540" s="4"/>
      <c r="J540" s="4"/>
      <c r="K540" s="4"/>
    </row>
    <row r="541" spans="2:11" ht="12.75">
      <c r="B541" s="1"/>
      <c r="D541" s="4"/>
      <c r="E541" s="4"/>
      <c r="F541" s="4"/>
      <c r="G541" s="4"/>
      <c r="H541" s="4"/>
      <c r="I541" s="4"/>
      <c r="J541" s="4"/>
      <c r="K541" s="4"/>
    </row>
    <row r="542" spans="2:11" ht="12.75">
      <c r="B542" s="1"/>
      <c r="D542" s="4"/>
      <c r="E542" s="4"/>
      <c r="F542" s="4"/>
      <c r="G542" s="4"/>
      <c r="H542" s="4"/>
      <c r="I542" s="4"/>
      <c r="J542" s="4"/>
      <c r="K542" s="4"/>
    </row>
    <row r="543" spans="2:11" ht="12.75">
      <c r="B543" s="1"/>
      <c r="D543" s="4"/>
      <c r="E543" s="4"/>
      <c r="F543" s="4"/>
      <c r="G543" s="4"/>
      <c r="H543" s="4"/>
      <c r="I543" s="4"/>
      <c r="J543" s="4"/>
      <c r="K543" s="4"/>
    </row>
    <row r="544" spans="2:11" ht="12.75">
      <c r="B544" s="1"/>
      <c r="D544" s="4"/>
      <c r="E544" s="4"/>
      <c r="F544" s="4"/>
      <c r="G544" s="4"/>
      <c r="H544" s="4"/>
      <c r="I544" s="4"/>
      <c r="J544" s="4"/>
      <c r="K544" s="4"/>
    </row>
    <row r="545" spans="2:11" ht="12.75">
      <c r="B545" s="1"/>
      <c r="D545" s="4"/>
      <c r="E545" s="4"/>
      <c r="F545" s="4"/>
      <c r="G545" s="4"/>
      <c r="H545" s="4"/>
      <c r="I545" s="4"/>
      <c r="J545" s="4"/>
      <c r="K545" s="4"/>
    </row>
    <row r="546" spans="2:11" ht="12.75">
      <c r="B546" s="1"/>
      <c r="D546" s="4"/>
      <c r="E546" s="4"/>
      <c r="F546" s="4"/>
      <c r="G546" s="4"/>
      <c r="H546" s="4"/>
      <c r="I546" s="4"/>
      <c r="J546" s="4"/>
      <c r="K546" s="4"/>
    </row>
    <row r="547" spans="2:11" ht="12.75">
      <c r="B547" s="1"/>
      <c r="D547" s="4"/>
      <c r="E547" s="4"/>
      <c r="F547" s="4"/>
      <c r="G547" s="4"/>
      <c r="H547" s="4"/>
      <c r="I547" s="4"/>
      <c r="J547" s="4"/>
      <c r="K547" s="4"/>
    </row>
    <row r="548" spans="2:11" ht="12.75">
      <c r="B548" s="1"/>
      <c r="D548" s="4"/>
      <c r="E548" s="4"/>
      <c r="F548" s="4"/>
      <c r="G548" s="4"/>
      <c r="H548" s="4"/>
      <c r="I548" s="4"/>
      <c r="J548" s="4"/>
      <c r="K548" s="4"/>
    </row>
    <row r="549" spans="2:11" ht="12.75">
      <c r="B549" s="1"/>
      <c r="D549" s="4"/>
      <c r="E549" s="4"/>
      <c r="F549" s="4"/>
      <c r="G549" s="4"/>
      <c r="H549" s="4"/>
      <c r="I549" s="4"/>
      <c r="J549" s="4"/>
      <c r="K549" s="4"/>
    </row>
    <row r="550" spans="2:11" ht="12.75">
      <c r="B550" s="1"/>
      <c r="D550" s="4"/>
      <c r="E550" s="4"/>
      <c r="F550" s="4"/>
      <c r="G550" s="4"/>
      <c r="H550" s="4"/>
      <c r="I550" s="4"/>
      <c r="J550" s="4"/>
      <c r="K550" s="4"/>
    </row>
    <row r="551" spans="2:11" ht="12.75">
      <c r="B551" s="1"/>
      <c r="D551" s="4"/>
      <c r="E551" s="4"/>
      <c r="F551" s="4"/>
      <c r="G551" s="4"/>
      <c r="H551" s="4"/>
      <c r="I551" s="4"/>
      <c r="J551" s="4"/>
      <c r="K551" s="4"/>
    </row>
    <row r="552" spans="2:11" ht="12.75">
      <c r="B552" s="1"/>
      <c r="D552" s="4"/>
      <c r="E552" s="4"/>
      <c r="F552" s="4"/>
      <c r="G552" s="4"/>
      <c r="H552" s="4"/>
      <c r="I552" s="4"/>
      <c r="J552" s="4"/>
      <c r="K552" s="4"/>
    </row>
    <row r="553" spans="2:11" ht="12.75">
      <c r="B553" s="1"/>
      <c r="D553" s="4"/>
      <c r="E553" s="4"/>
      <c r="F553" s="4"/>
      <c r="G553" s="4"/>
      <c r="H553" s="4"/>
      <c r="I553" s="4"/>
      <c r="J553" s="4"/>
      <c r="K553" s="4"/>
    </row>
    <row r="554" spans="2:11" ht="12.75">
      <c r="B554" s="1"/>
      <c r="D554" s="4"/>
      <c r="E554" s="4"/>
      <c r="F554" s="4"/>
      <c r="G554" s="4"/>
      <c r="H554" s="4"/>
      <c r="I554" s="4"/>
      <c r="J554" s="4"/>
      <c r="K554" s="4"/>
    </row>
    <row r="555" spans="2:11" ht="12.75">
      <c r="B555" s="1"/>
      <c r="D555" s="4"/>
      <c r="E555" s="4"/>
      <c r="F555" s="4"/>
      <c r="G555" s="4"/>
      <c r="H555" s="4"/>
      <c r="I555" s="4"/>
      <c r="J555" s="4"/>
      <c r="K555" s="4"/>
    </row>
    <row r="556" spans="2:11" ht="12.75">
      <c r="B556" s="1"/>
      <c r="D556" s="4"/>
      <c r="E556" s="4"/>
      <c r="F556" s="4"/>
      <c r="G556" s="4"/>
      <c r="H556" s="4"/>
      <c r="I556" s="4"/>
      <c r="J556" s="4"/>
      <c r="K556" s="4"/>
    </row>
    <row r="557" spans="2:11" ht="12.75">
      <c r="B557" s="1"/>
      <c r="D557" s="4"/>
      <c r="E557" s="4"/>
      <c r="F557" s="4"/>
      <c r="G557" s="4"/>
      <c r="H557" s="4"/>
      <c r="I557" s="4"/>
      <c r="J557" s="4"/>
      <c r="K557" s="4"/>
    </row>
    <row r="558" spans="2:11" ht="12.75">
      <c r="B558" s="1"/>
      <c r="D558" s="4"/>
      <c r="E558" s="4"/>
      <c r="F558" s="4"/>
      <c r="G558" s="4"/>
      <c r="H558" s="4"/>
      <c r="I558" s="4"/>
      <c r="J558" s="4"/>
      <c r="K558" s="4"/>
    </row>
    <row r="559" spans="2:11" ht="12.75">
      <c r="B559" s="1"/>
      <c r="D559" s="4"/>
      <c r="E559" s="4"/>
      <c r="F559" s="4"/>
      <c r="G559" s="4"/>
      <c r="H559" s="4"/>
      <c r="I559" s="4"/>
      <c r="J559" s="4"/>
      <c r="K559" s="4"/>
    </row>
    <row r="560" spans="2:11" ht="12.75">
      <c r="B560" s="1"/>
      <c r="D560" s="4"/>
      <c r="E560" s="4"/>
      <c r="F560" s="4"/>
      <c r="G560" s="4"/>
      <c r="H560" s="4"/>
      <c r="I560" s="4"/>
      <c r="J560" s="4"/>
      <c r="K560" s="4"/>
    </row>
    <row r="561" spans="2:11" ht="12.75">
      <c r="B561" s="1"/>
      <c r="D561" s="4"/>
      <c r="E561" s="4"/>
      <c r="F561" s="4"/>
      <c r="G561" s="4"/>
      <c r="H561" s="4"/>
      <c r="I561" s="4"/>
      <c r="J561" s="4"/>
      <c r="K561" s="4"/>
    </row>
    <row r="562" spans="2:11" ht="12.75">
      <c r="B562" s="1"/>
      <c r="D562" s="4"/>
      <c r="E562" s="4"/>
      <c r="F562" s="4"/>
      <c r="G562" s="4"/>
      <c r="H562" s="4"/>
      <c r="I562" s="4"/>
      <c r="J562" s="4"/>
      <c r="K562" s="4"/>
    </row>
    <row r="563" spans="2:11" ht="12.75">
      <c r="B563" s="1"/>
      <c r="D563" s="4"/>
      <c r="E563" s="4"/>
      <c r="F563" s="4"/>
      <c r="G563" s="4"/>
      <c r="H563" s="4"/>
      <c r="I563" s="4"/>
      <c r="J563" s="4"/>
      <c r="K563" s="4"/>
    </row>
    <row r="564" spans="2:11" ht="12.75">
      <c r="B564" s="1"/>
      <c r="D564" s="4"/>
      <c r="E564" s="4"/>
      <c r="F564" s="4"/>
      <c r="G564" s="4"/>
      <c r="H564" s="4"/>
      <c r="I564" s="4"/>
      <c r="J564" s="4"/>
      <c r="K564" s="4"/>
    </row>
    <row r="565" spans="2:11" ht="12.75">
      <c r="B565" s="1"/>
      <c r="D565" s="4"/>
      <c r="E565" s="4"/>
      <c r="F565" s="4"/>
      <c r="G565" s="4"/>
      <c r="H565" s="4"/>
      <c r="I565" s="4"/>
      <c r="J565" s="4"/>
      <c r="K565" s="4"/>
    </row>
    <row r="566" spans="2:11" ht="12.75">
      <c r="B566" s="1"/>
      <c r="D566" s="4"/>
      <c r="E566" s="4"/>
      <c r="F566" s="4"/>
      <c r="G566" s="4"/>
      <c r="H566" s="4"/>
      <c r="I566" s="4"/>
      <c r="J566" s="4"/>
      <c r="K566" s="4"/>
    </row>
    <row r="567" spans="2:11" ht="12.75">
      <c r="B567" s="1"/>
      <c r="D567" s="4"/>
      <c r="E567" s="4"/>
      <c r="F567" s="4"/>
      <c r="G567" s="4"/>
      <c r="H567" s="4"/>
      <c r="I567" s="4"/>
      <c r="J567" s="4"/>
      <c r="K567" s="4"/>
    </row>
    <row r="568" spans="2:11" ht="12.75">
      <c r="B568" s="1"/>
      <c r="D568" s="4"/>
      <c r="E568" s="4"/>
      <c r="F568" s="4"/>
      <c r="G568" s="4"/>
      <c r="H568" s="4"/>
      <c r="I568" s="4"/>
      <c r="J568" s="4"/>
      <c r="K568" s="4"/>
    </row>
    <row r="569" spans="2:11" ht="12.75">
      <c r="B569" s="1"/>
      <c r="D569" s="4"/>
      <c r="E569" s="4"/>
      <c r="F569" s="4"/>
      <c r="G569" s="4"/>
      <c r="H569" s="4"/>
      <c r="I569" s="4"/>
      <c r="J569" s="4"/>
      <c r="K569" s="4"/>
    </row>
    <row r="570" spans="2:11" ht="12.75">
      <c r="B570" s="1"/>
      <c r="D570" s="4"/>
      <c r="E570" s="4"/>
      <c r="F570" s="4"/>
      <c r="G570" s="4"/>
      <c r="H570" s="4"/>
      <c r="I570" s="4"/>
      <c r="J570" s="4"/>
      <c r="K570" s="4"/>
    </row>
    <row r="571" spans="2:11" ht="12.75">
      <c r="B571" s="1"/>
      <c r="D571" s="4"/>
      <c r="E571" s="4"/>
      <c r="F571" s="4"/>
      <c r="G571" s="4"/>
      <c r="H571" s="4"/>
      <c r="I571" s="4"/>
      <c r="J571" s="4"/>
      <c r="K571" s="4"/>
    </row>
    <row r="572" spans="2:11" ht="12.75">
      <c r="B572" s="1"/>
      <c r="D572" s="4"/>
      <c r="E572" s="4"/>
      <c r="F572" s="4"/>
      <c r="G572" s="4"/>
      <c r="H572" s="4"/>
      <c r="I572" s="4"/>
      <c r="J572" s="4"/>
      <c r="K572" s="4"/>
    </row>
    <row r="573" spans="2:11" ht="12.75">
      <c r="B573" s="1"/>
      <c r="D573" s="4"/>
      <c r="E573" s="4"/>
      <c r="F573" s="4"/>
      <c r="G573" s="4"/>
      <c r="H573" s="4"/>
      <c r="I573" s="4"/>
      <c r="J573" s="4"/>
      <c r="K573" s="4"/>
    </row>
    <row r="574" spans="2:11" ht="12.75">
      <c r="B574" s="1"/>
      <c r="D574" s="4"/>
      <c r="E574" s="4"/>
      <c r="F574" s="4"/>
      <c r="G574" s="4"/>
      <c r="H574" s="4"/>
      <c r="I574" s="4"/>
      <c r="J574" s="4"/>
      <c r="K574" s="4"/>
    </row>
    <row r="575" spans="2:11" ht="12.75">
      <c r="B575" s="1"/>
      <c r="D575" s="4"/>
      <c r="E575" s="4"/>
      <c r="F575" s="4"/>
      <c r="G575" s="4"/>
      <c r="H575" s="4"/>
      <c r="I575" s="4"/>
      <c r="J575" s="4"/>
      <c r="K575" s="4"/>
    </row>
    <row r="576" spans="2:11" ht="12.75">
      <c r="B576" s="1"/>
      <c r="D576" s="4"/>
      <c r="E576" s="4"/>
      <c r="F576" s="4"/>
      <c r="G576" s="4"/>
      <c r="H576" s="4"/>
      <c r="I576" s="4"/>
      <c r="J576" s="4"/>
      <c r="K576" s="4"/>
    </row>
    <row r="577" spans="2:11" ht="12.75">
      <c r="B577" s="1"/>
      <c r="D577" s="4"/>
      <c r="E577" s="4"/>
      <c r="F577" s="4"/>
      <c r="G577" s="4"/>
      <c r="H577" s="4"/>
      <c r="I577" s="4"/>
      <c r="J577" s="4"/>
      <c r="K577" s="4"/>
    </row>
  </sheetData>
  <sheetProtection password="C44C" sheet="1" objects="1" scenarios="1" selectLockedCells="1" selectUnlockedCells="1"/>
  <protectedRanges>
    <protectedRange sqref="D27:D33 D36 D38:D39 C42:C44 D48:D51" name="Range1"/>
  </protectedRanges>
  <mergeCells count="40">
    <mergeCell ref="B16:J16"/>
    <mergeCell ref="B18:J18"/>
    <mergeCell ref="B20:J20"/>
    <mergeCell ref="B10:K10"/>
    <mergeCell ref="B9:J9"/>
    <mergeCell ref="B13:J13"/>
    <mergeCell ref="B14:J14"/>
    <mergeCell ref="B11:I11"/>
    <mergeCell ref="B12:I12"/>
    <mergeCell ref="B3:J3"/>
    <mergeCell ref="B6:J6"/>
    <mergeCell ref="B7:J7"/>
    <mergeCell ref="B8:J8"/>
    <mergeCell ref="H52:I52"/>
    <mergeCell ref="B32:C32"/>
    <mergeCell ref="H34:I34"/>
    <mergeCell ref="B51:C51"/>
    <mergeCell ref="B50:C50"/>
    <mergeCell ref="E41:F41"/>
    <mergeCell ref="E32:F32"/>
    <mergeCell ref="B38:C38"/>
    <mergeCell ref="B39:C39"/>
    <mergeCell ref="B48:C48"/>
    <mergeCell ref="B31:C31"/>
    <mergeCell ref="E42:F42"/>
    <mergeCell ref="B49:C49"/>
    <mergeCell ref="B33:C33"/>
    <mergeCell ref="B46:C46"/>
    <mergeCell ref="B47:C47"/>
    <mergeCell ref="E31:F31"/>
    <mergeCell ref="E33:F33"/>
    <mergeCell ref="E43:F43"/>
    <mergeCell ref="E44:F44"/>
    <mergeCell ref="B27:C27"/>
    <mergeCell ref="B28:C28"/>
    <mergeCell ref="B30:C30"/>
    <mergeCell ref="E30:F30"/>
    <mergeCell ref="B29:C29"/>
    <mergeCell ref="E28:F28"/>
    <mergeCell ref="E29:F29"/>
  </mergeCells>
  <hyperlinks>
    <hyperlink ref="B12" r:id="rId1" display="http://www.deere.com/servlet/com.deere.u90785.productcatalog.view.servlets.PublicationsSearchServlet?tM=FR"/>
  </hyperlinks>
  <printOptions/>
  <pageMargins left="0.63" right="0.6" top="0.58" bottom="0.78" header="0.5" footer="0.5"/>
  <pageSetup fitToHeight="2" horizontalDpi="600" verticalDpi="600" orientation="landscape" scale="76" r:id="rId3"/>
  <headerFooter alignWithMargins="0">
    <oddFooter>&amp;C&amp;A</oddFooter>
  </headerFooter>
  <rowBreaks count="1" manualBreakCount="1">
    <brk id="22" max="11" man="1"/>
  </rowBreaks>
  <ignoredErrors>
    <ignoredError sqref="A13:A18 A6:A10" numberStoredAsText="1"/>
    <ignoredError sqref="J47:K47" unlockedFormula="1"/>
  </ignoredErrors>
  <legacyDrawing r:id="rId2"/>
</worksheet>
</file>

<file path=xl/worksheets/sheet2.xml><?xml version="1.0" encoding="utf-8"?>
<worksheet xmlns="http://schemas.openxmlformats.org/spreadsheetml/2006/main" xmlns:r="http://schemas.openxmlformats.org/officeDocument/2006/relationships">
  <sheetPr codeName="Sheet4"/>
  <dimension ref="A1:DE211"/>
  <sheetViews>
    <sheetView zoomScale="75" zoomScaleNormal="75" workbookViewId="0" topLeftCell="A1">
      <selection activeCell="K8" sqref="K8"/>
    </sheetView>
  </sheetViews>
  <sheetFormatPr defaultColWidth="9.140625" defaultRowHeight="12.75"/>
  <cols>
    <col min="1" max="1" width="9.28125" style="0" bestFit="1" customWidth="1"/>
    <col min="5" max="8" width="9.7109375" style="0" customWidth="1"/>
    <col min="9" max="9" width="11.28125" style="0" customWidth="1"/>
    <col min="10" max="10" width="7.00390625" style="0" customWidth="1"/>
    <col min="11" max="11" width="8.57421875" style="0" customWidth="1"/>
    <col min="12" max="12" width="4.7109375" style="0" bestFit="1" customWidth="1"/>
    <col min="13" max="13" width="5.00390625" style="0" customWidth="1"/>
    <col min="14" max="14" width="14.28125" style="0" bestFit="1" customWidth="1"/>
    <col min="15" max="21" width="9.28125" style="0" bestFit="1" customWidth="1"/>
    <col min="22" max="22" width="12.8515625" style="0" bestFit="1" customWidth="1"/>
    <col min="25" max="25" width="9.8515625" style="0" customWidth="1"/>
    <col min="28" max="28" width="10.421875" style="0" customWidth="1"/>
    <col min="29" max="29" width="15.7109375" style="0" bestFit="1" customWidth="1"/>
    <col min="30" max="30" width="15.7109375" style="0" customWidth="1"/>
    <col min="31" max="31" width="15.7109375" style="0" bestFit="1" customWidth="1"/>
    <col min="32" max="32" width="5.7109375" style="0" customWidth="1"/>
    <col min="34" max="50" width="14.140625" style="0" customWidth="1"/>
    <col min="51" max="51" width="3.8515625" style="0" customWidth="1"/>
    <col min="52" max="52" width="9.421875" style="0" customWidth="1"/>
    <col min="53" max="53" width="9.28125" style="0" customWidth="1"/>
    <col min="55" max="55" width="6.421875" style="0" customWidth="1"/>
    <col min="56" max="56" width="11.57421875" style="0" bestFit="1" customWidth="1"/>
    <col min="58" max="58" width="4.00390625" style="0" customWidth="1"/>
    <col min="59" max="59" width="9.00390625" style="29" customWidth="1"/>
    <col min="60" max="75" width="12.8515625" style="29" customWidth="1"/>
    <col min="76" max="79" width="11.28125" style="29" customWidth="1"/>
    <col min="80" max="80" width="5.8515625" style="0" customWidth="1"/>
    <col min="81" max="91" width="11.140625" style="29" customWidth="1"/>
    <col min="92" max="92" width="5.00390625" style="0" customWidth="1"/>
    <col min="93" max="94" width="10.8515625" style="0" customWidth="1"/>
    <col min="95" max="96" width="8.57421875" style="0" customWidth="1"/>
    <col min="97" max="98" width="4.140625" style="0" customWidth="1"/>
    <col min="99" max="99" width="12.7109375" style="0" customWidth="1"/>
    <col min="100" max="100" width="12.140625" style="0" bestFit="1" customWidth="1"/>
    <col min="101" max="101" width="15.28125" style="0" customWidth="1"/>
    <col min="102" max="102" width="11.140625" style="0" bestFit="1" customWidth="1"/>
    <col min="103" max="103" width="15.28125" style="0" customWidth="1"/>
    <col min="104" max="104" width="11.140625" style="0" customWidth="1"/>
    <col min="105" max="105" width="15.28125" style="0" customWidth="1"/>
    <col min="106" max="106" width="11.7109375" style="0" bestFit="1" customWidth="1"/>
    <col min="107" max="107" width="15.28125" style="0" customWidth="1"/>
    <col min="108" max="108" width="3.00390625" style="0" customWidth="1"/>
    <col min="109" max="109" width="14.00390625" style="29" customWidth="1"/>
  </cols>
  <sheetData>
    <row r="1" spans="1:8" ht="12.75">
      <c r="A1" s="28">
        <v>8130</v>
      </c>
      <c r="B1" s="28">
        <f>IF('8030 Ballast Calculator'!D36=1,"Light (5.5 MPH)","")</f>
      </c>
      <c r="C1" s="28" t="s">
        <v>30</v>
      </c>
      <c r="D1" s="28" t="s">
        <v>28</v>
      </c>
      <c r="E1" s="28">
        <f>IF('8030 Ballast Calculator'!D27=1,"2WD","")</f>
      </c>
      <c r="F1" s="39" t="s">
        <v>49</v>
      </c>
      <c r="G1" s="32">
        <v>0</v>
      </c>
      <c r="H1" s="32">
        <v>0</v>
      </c>
    </row>
    <row r="2" spans="1:8" ht="12.75">
      <c r="A2" s="28">
        <v>8230</v>
      </c>
      <c r="B2" s="28">
        <f>IF('8030 Ballast Calculator'!D36=1,"Medium (5.0 MPH)","")</f>
      </c>
      <c r="C2" s="28" t="s">
        <v>31</v>
      </c>
      <c r="D2" s="28" t="s">
        <v>29</v>
      </c>
      <c r="E2" s="38">
        <v>1300</v>
      </c>
      <c r="F2" s="38" t="str">
        <f>IF('8030 Ballast Calculator'!D28=1,"","IVT")</f>
        <v>IVT</v>
      </c>
      <c r="G2" s="32">
        <v>2</v>
      </c>
      <c r="H2" s="32">
        <v>1</v>
      </c>
    </row>
    <row r="3" spans="1:8" ht="12.75">
      <c r="A3" s="28">
        <v>8330</v>
      </c>
      <c r="B3" s="28">
        <f>IF('8030 Ballast Calculator'!D36=1,"Heavy (4.5 MPH)","")</f>
      </c>
      <c r="E3" s="38">
        <v>1500</v>
      </c>
      <c r="F3" s="41"/>
      <c r="G3" s="32">
        <f>G2+2</f>
        <v>4</v>
      </c>
      <c r="H3" s="32">
        <v>2</v>
      </c>
    </row>
    <row r="4" spans="1:8" ht="12.75">
      <c r="A4" s="28">
        <v>8430</v>
      </c>
      <c r="E4" s="38" t="s">
        <v>48</v>
      </c>
      <c r="F4" s="41"/>
      <c r="G4" s="32">
        <f aca="true" t="shared" si="0" ref="G4:G12">G3+2</f>
        <v>6</v>
      </c>
      <c r="H4" s="32">
        <v>3</v>
      </c>
    </row>
    <row r="5" spans="1:8" ht="12.75">
      <c r="A5" s="39">
        <v>8530</v>
      </c>
      <c r="G5" s="32">
        <f t="shared" si="0"/>
        <v>8</v>
      </c>
      <c r="H5" s="29"/>
    </row>
    <row r="6" spans="1:8" ht="12.75">
      <c r="A6" s="42"/>
      <c r="G6" s="32">
        <f t="shared" si="0"/>
        <v>10</v>
      </c>
      <c r="H6" s="29"/>
    </row>
    <row r="7" spans="1:8" ht="12.75">
      <c r="A7" s="42"/>
      <c r="G7" s="32">
        <f t="shared" si="0"/>
        <v>12</v>
      </c>
      <c r="H7" s="29"/>
    </row>
    <row r="8" spans="1:8" ht="12.75">
      <c r="A8" s="42"/>
      <c r="G8" s="32">
        <f t="shared" si="0"/>
        <v>14</v>
      </c>
      <c r="H8" s="29"/>
    </row>
    <row r="9" spans="1:8" ht="12.75">
      <c r="A9" s="42"/>
      <c r="G9" s="32">
        <f t="shared" si="0"/>
        <v>16</v>
      </c>
      <c r="H9" s="29"/>
    </row>
    <row r="10" spans="1:8" ht="12.75">
      <c r="A10" s="42"/>
      <c r="G10" s="32">
        <f>G9+2</f>
        <v>18</v>
      </c>
      <c r="H10" s="29"/>
    </row>
    <row r="11" spans="1:8" ht="12.75">
      <c r="A11" s="42"/>
      <c r="G11" s="32">
        <f t="shared" si="0"/>
        <v>20</v>
      </c>
      <c r="H11" s="29"/>
    </row>
    <row r="12" spans="1:8" ht="12.75">
      <c r="A12" s="42"/>
      <c r="G12" s="32">
        <f t="shared" si="0"/>
        <v>22</v>
      </c>
      <c r="H12" s="29"/>
    </row>
    <row r="13" spans="9:11" ht="12.75">
      <c r="I13" s="256" t="s">
        <v>86</v>
      </c>
      <c r="J13" s="257"/>
      <c r="K13" s="258"/>
    </row>
    <row r="14" spans="9:11" ht="15" customHeight="1">
      <c r="I14" s="28"/>
      <c r="J14" s="28" t="s">
        <v>5</v>
      </c>
      <c r="K14" s="28" t="s">
        <v>6</v>
      </c>
    </row>
    <row r="15" spans="9:11" ht="12.75">
      <c r="I15" s="32" t="s">
        <v>54</v>
      </c>
      <c r="J15" s="28">
        <v>7061</v>
      </c>
      <c r="K15" s="28">
        <v>12742</v>
      </c>
    </row>
    <row r="16" spans="9:11" ht="12.75">
      <c r="I16" s="32" t="s">
        <v>12</v>
      </c>
      <c r="J16" s="28">
        <v>0</v>
      </c>
      <c r="K16" s="28">
        <v>0</v>
      </c>
    </row>
    <row r="17" spans="9:11" ht="12.75">
      <c r="I17" s="58">
        <v>1300</v>
      </c>
      <c r="J17" s="28">
        <v>1534</v>
      </c>
      <c r="K17" s="28">
        <v>0</v>
      </c>
    </row>
    <row r="18" spans="1:11" ht="12.75">
      <c r="A18" s="42"/>
      <c r="I18" s="32">
        <v>1500</v>
      </c>
      <c r="J18" s="28">
        <v>2531</v>
      </c>
      <c r="K18" s="28">
        <v>0</v>
      </c>
    </row>
    <row r="19" spans="1:11" ht="12.75">
      <c r="A19" s="42"/>
      <c r="I19" s="32" t="s">
        <v>48</v>
      </c>
      <c r="J19" s="28">
        <v>2934</v>
      </c>
      <c r="K19" s="28">
        <v>0</v>
      </c>
    </row>
    <row r="20" spans="1:11" ht="12.75">
      <c r="A20" s="42"/>
      <c r="I20" s="32" t="s">
        <v>49</v>
      </c>
      <c r="J20" s="28">
        <v>0</v>
      </c>
      <c r="K20" s="28">
        <v>0</v>
      </c>
    </row>
    <row r="21" spans="1:11" ht="12.75">
      <c r="A21" s="42"/>
      <c r="I21" s="32" t="s">
        <v>50</v>
      </c>
      <c r="J21" s="28">
        <v>475</v>
      </c>
      <c r="K21" s="28">
        <v>-36</v>
      </c>
    </row>
    <row r="22" spans="1:11" ht="12.75">
      <c r="A22" s="42"/>
      <c r="I22" s="56"/>
      <c r="J22" s="10"/>
      <c r="K22" s="10"/>
    </row>
    <row r="23" spans="1:19" ht="12.75">
      <c r="A23" s="42"/>
      <c r="K23" s="45"/>
      <c r="L23" s="259" t="s">
        <v>87</v>
      </c>
      <c r="M23" s="260"/>
      <c r="N23" s="260"/>
      <c r="O23" s="260"/>
      <c r="P23" s="260"/>
      <c r="Q23" s="260"/>
      <c r="R23" s="260"/>
      <c r="S23" s="261"/>
    </row>
    <row r="24" spans="1:19" ht="12.75">
      <c r="A24" s="42"/>
      <c r="L24" s="59"/>
      <c r="M24" s="60"/>
      <c r="N24" s="61"/>
      <c r="O24" s="57" t="s">
        <v>12</v>
      </c>
      <c r="P24" s="57" t="s">
        <v>57</v>
      </c>
      <c r="Q24" s="57" t="s">
        <v>59</v>
      </c>
      <c r="R24" s="57" t="s">
        <v>47</v>
      </c>
      <c r="S24" s="57" t="s">
        <v>60</v>
      </c>
    </row>
    <row r="25" spans="1:19" ht="12.75">
      <c r="A25" s="42"/>
      <c r="L25" s="28"/>
      <c r="M25" s="38" t="s">
        <v>100</v>
      </c>
      <c r="N25" s="38" t="s">
        <v>101</v>
      </c>
      <c r="O25" s="28" t="s">
        <v>55</v>
      </c>
      <c r="P25" s="28" t="s">
        <v>55</v>
      </c>
      <c r="Q25" s="28" t="s">
        <v>58</v>
      </c>
      <c r="R25" s="28" t="s">
        <v>56</v>
      </c>
      <c r="S25" s="28" t="s">
        <v>56</v>
      </c>
    </row>
    <row r="26" spans="1:19" ht="12.75">
      <c r="A26" s="42"/>
      <c r="L26" s="32">
        <v>1</v>
      </c>
      <c r="M26" s="32">
        <v>47</v>
      </c>
      <c r="N26" s="55" t="s">
        <v>78</v>
      </c>
      <c r="O26" s="28">
        <v>0</v>
      </c>
      <c r="P26" s="28">
        <v>0</v>
      </c>
      <c r="Q26" s="28">
        <v>1240</v>
      </c>
      <c r="R26" s="28">
        <v>154</v>
      </c>
      <c r="S26" s="28">
        <v>2050</v>
      </c>
    </row>
    <row r="27" spans="1:19" ht="12.75">
      <c r="A27" s="42"/>
      <c r="L27" s="32">
        <v>2</v>
      </c>
      <c r="M27" s="32">
        <v>47</v>
      </c>
      <c r="N27" s="55" t="s">
        <v>79</v>
      </c>
      <c r="O27" s="28">
        <v>0</v>
      </c>
      <c r="P27" s="28">
        <v>0</v>
      </c>
      <c r="Q27" s="28">
        <v>1240</v>
      </c>
      <c r="R27" s="28">
        <v>0</v>
      </c>
      <c r="S27" s="28">
        <v>1962</v>
      </c>
    </row>
    <row r="28" spans="1:91" ht="12.75">
      <c r="A28" s="42"/>
      <c r="L28" s="32">
        <v>3</v>
      </c>
      <c r="M28" s="32">
        <v>48</v>
      </c>
      <c r="N28" s="55" t="s">
        <v>38</v>
      </c>
      <c r="O28" s="28">
        <v>0</v>
      </c>
      <c r="P28" s="28">
        <v>366</v>
      </c>
      <c r="Q28" s="28">
        <v>1606</v>
      </c>
      <c r="R28" s="28">
        <v>66</v>
      </c>
      <c r="S28" s="28">
        <v>2028</v>
      </c>
      <c r="AS28" s="29"/>
      <c r="AT28" s="29"/>
      <c r="AU28" s="29"/>
      <c r="AV28" s="29"/>
      <c r="AW28" s="29"/>
      <c r="AX28" s="29"/>
      <c r="AY28" s="29"/>
      <c r="AZ28" s="29"/>
      <c r="BA28" s="29"/>
      <c r="BB28" s="29"/>
      <c r="BC28" s="29"/>
      <c r="BD28" s="29"/>
      <c r="BE28" s="29"/>
      <c r="BF28" s="29"/>
      <c r="BK28"/>
      <c r="BU28"/>
      <c r="BV28"/>
      <c r="BW28"/>
      <c r="BX28"/>
      <c r="BY28"/>
      <c r="BZ28"/>
      <c r="CA28"/>
      <c r="CC28"/>
      <c r="CD28"/>
      <c r="CE28"/>
      <c r="CF28"/>
      <c r="CG28"/>
      <c r="CH28"/>
      <c r="CI28"/>
      <c r="CJ28"/>
      <c r="CK28"/>
      <c r="CL28"/>
      <c r="CM28"/>
    </row>
    <row r="29" spans="1:91" ht="12.75">
      <c r="A29" s="42"/>
      <c r="L29" s="32">
        <v>4</v>
      </c>
      <c r="M29" s="32">
        <v>47</v>
      </c>
      <c r="N29" s="55" t="s">
        <v>80</v>
      </c>
      <c r="O29" s="28">
        <v>0</v>
      </c>
      <c r="P29" s="28">
        <v>0</v>
      </c>
      <c r="Q29" s="28">
        <v>1240</v>
      </c>
      <c r="R29" s="28">
        <v>31</v>
      </c>
      <c r="S29" s="28">
        <v>1940</v>
      </c>
      <c r="AS29" s="29"/>
      <c r="AT29" s="29"/>
      <c r="AU29" s="29"/>
      <c r="AV29" s="29"/>
      <c r="AW29" s="29"/>
      <c r="AX29" s="29"/>
      <c r="AY29" s="29"/>
      <c r="AZ29" s="29"/>
      <c r="BA29" s="29"/>
      <c r="BB29" s="29"/>
      <c r="BC29" s="29"/>
      <c r="BD29" s="29"/>
      <c r="BE29" s="29"/>
      <c r="BF29" s="29"/>
      <c r="BK29"/>
      <c r="BU29"/>
      <c r="BV29"/>
      <c r="BW29"/>
      <c r="BX29"/>
      <c r="BY29"/>
      <c r="BZ29"/>
      <c r="CA29"/>
      <c r="CC29"/>
      <c r="CD29"/>
      <c r="CE29"/>
      <c r="CF29"/>
      <c r="CG29"/>
      <c r="CH29"/>
      <c r="CI29"/>
      <c r="CJ29"/>
      <c r="CK29"/>
      <c r="CL29"/>
      <c r="CM29"/>
    </row>
    <row r="30" spans="1:91" ht="12.75">
      <c r="A30" s="42"/>
      <c r="L30" s="32">
        <v>5</v>
      </c>
      <c r="M30" s="32">
        <v>47</v>
      </c>
      <c r="N30" s="55" t="s">
        <v>35</v>
      </c>
      <c r="O30" s="28">
        <v>0</v>
      </c>
      <c r="P30" s="28">
        <v>0</v>
      </c>
      <c r="Q30" s="28">
        <v>1240</v>
      </c>
      <c r="R30" s="28">
        <v>31</v>
      </c>
      <c r="S30" s="28">
        <v>1940</v>
      </c>
      <c r="AS30" s="29"/>
      <c r="AT30" s="29"/>
      <c r="AU30" s="29"/>
      <c r="AV30" s="29"/>
      <c r="AW30" s="29"/>
      <c r="AX30" s="29"/>
      <c r="AY30" s="29"/>
      <c r="AZ30" s="29"/>
      <c r="BA30" s="29"/>
      <c r="BB30" s="29"/>
      <c r="BC30" s="29"/>
      <c r="BD30" s="29"/>
      <c r="BE30" s="29"/>
      <c r="BF30" s="29"/>
      <c r="BK30"/>
      <c r="BU30"/>
      <c r="BV30"/>
      <c r="BW30"/>
      <c r="BX30"/>
      <c r="BY30"/>
      <c r="BZ30"/>
      <c r="CA30"/>
      <c r="CC30"/>
      <c r="CD30"/>
      <c r="CE30"/>
      <c r="CF30"/>
      <c r="CG30"/>
      <c r="CH30"/>
      <c r="CI30"/>
      <c r="CJ30"/>
      <c r="CK30"/>
      <c r="CL30"/>
      <c r="CM30"/>
    </row>
    <row r="31" spans="1:19" ht="12.75">
      <c r="A31" s="42"/>
      <c r="L31" s="32">
        <v>6</v>
      </c>
      <c r="M31" s="32">
        <v>48</v>
      </c>
      <c r="N31" s="55" t="s">
        <v>39</v>
      </c>
      <c r="O31" s="28">
        <v>0</v>
      </c>
      <c r="P31" s="28">
        <v>366</v>
      </c>
      <c r="Q31" s="28">
        <v>1606</v>
      </c>
      <c r="R31" s="28">
        <v>243</v>
      </c>
      <c r="S31" s="28">
        <v>2006</v>
      </c>
    </row>
    <row r="32" spans="1:91" ht="12.75">
      <c r="A32" s="42"/>
      <c r="L32" s="32">
        <v>7</v>
      </c>
      <c r="M32" s="32">
        <v>47</v>
      </c>
      <c r="N32" s="55" t="s">
        <v>81</v>
      </c>
      <c r="O32" s="28">
        <v>0</v>
      </c>
      <c r="P32" s="28">
        <v>0</v>
      </c>
      <c r="Q32" s="28">
        <v>1240</v>
      </c>
      <c r="R32" s="28">
        <v>176</v>
      </c>
      <c r="S32" s="28">
        <v>2160</v>
      </c>
      <c r="AS32" s="29"/>
      <c r="AT32" s="29"/>
      <c r="AU32" s="29"/>
      <c r="AV32" s="29"/>
      <c r="AW32" s="29"/>
      <c r="AX32" s="29"/>
      <c r="AY32" s="29"/>
      <c r="AZ32" s="29"/>
      <c r="BA32" s="29"/>
      <c r="BB32" s="29"/>
      <c r="BC32" s="29"/>
      <c r="BD32" s="29"/>
      <c r="BE32" s="29"/>
      <c r="BF32" s="29"/>
      <c r="BK32"/>
      <c r="BU32"/>
      <c r="BV32"/>
      <c r="BW32"/>
      <c r="BX32"/>
      <c r="BY32"/>
      <c r="BZ32"/>
      <c r="CA32"/>
      <c r="CC32"/>
      <c r="CD32"/>
      <c r="CE32"/>
      <c r="CF32"/>
      <c r="CG32"/>
      <c r="CH32"/>
      <c r="CI32"/>
      <c r="CJ32"/>
      <c r="CK32"/>
      <c r="CL32"/>
      <c r="CM32"/>
    </row>
    <row r="33" spans="1:91" ht="12.75">
      <c r="A33" s="42"/>
      <c r="L33" s="32">
        <v>8</v>
      </c>
      <c r="M33" s="32">
        <v>47</v>
      </c>
      <c r="N33" s="55" t="s">
        <v>36</v>
      </c>
      <c r="O33" s="28">
        <v>0</v>
      </c>
      <c r="P33" s="28">
        <v>0</v>
      </c>
      <c r="Q33" s="28">
        <v>1240</v>
      </c>
      <c r="R33" s="28">
        <v>176</v>
      </c>
      <c r="S33" s="28">
        <v>2160</v>
      </c>
      <c r="AS33" s="29"/>
      <c r="AT33" s="29"/>
      <c r="AU33" s="29"/>
      <c r="AV33" s="29"/>
      <c r="AW33" s="29"/>
      <c r="AX33" s="29"/>
      <c r="AY33" s="29"/>
      <c r="AZ33" s="29"/>
      <c r="BA33" s="29"/>
      <c r="BB33" s="29"/>
      <c r="BC33" s="29"/>
      <c r="BD33" s="29"/>
      <c r="BE33" s="29"/>
      <c r="BF33" s="29"/>
      <c r="BK33"/>
      <c r="BU33"/>
      <c r="BV33"/>
      <c r="BW33"/>
      <c r="BX33"/>
      <c r="BY33"/>
      <c r="BZ33"/>
      <c r="CA33"/>
      <c r="CC33"/>
      <c r="CD33"/>
      <c r="CE33"/>
      <c r="CF33"/>
      <c r="CG33"/>
      <c r="CH33"/>
      <c r="CI33"/>
      <c r="CJ33"/>
      <c r="CK33"/>
      <c r="CL33"/>
      <c r="CM33"/>
    </row>
    <row r="34" spans="1:91" ht="12.75">
      <c r="A34" s="42"/>
      <c r="L34" s="32">
        <v>9</v>
      </c>
      <c r="M34" s="32">
        <v>48</v>
      </c>
      <c r="N34" s="55" t="s">
        <v>40</v>
      </c>
      <c r="O34" s="28">
        <v>0</v>
      </c>
      <c r="P34" s="28">
        <v>366</v>
      </c>
      <c r="Q34" s="28">
        <v>1606</v>
      </c>
      <c r="R34" s="28">
        <v>31</v>
      </c>
      <c r="S34" s="28">
        <v>1940</v>
      </c>
      <c r="AS34" s="29"/>
      <c r="AT34" s="29"/>
      <c r="AU34" s="29"/>
      <c r="AV34" s="29"/>
      <c r="AW34" s="29"/>
      <c r="AX34" s="29"/>
      <c r="AY34" s="29"/>
      <c r="AZ34" s="29"/>
      <c r="BA34" s="29"/>
      <c r="BB34" s="29"/>
      <c r="BC34" s="29"/>
      <c r="BD34" s="29"/>
      <c r="BE34" s="29"/>
      <c r="BF34" s="29"/>
      <c r="BK34"/>
      <c r="BU34"/>
      <c r="BV34"/>
      <c r="BW34"/>
      <c r="BX34"/>
      <c r="BY34"/>
      <c r="BZ34"/>
      <c r="CA34"/>
      <c r="CC34"/>
      <c r="CD34"/>
      <c r="CE34"/>
      <c r="CF34"/>
      <c r="CG34"/>
      <c r="CH34"/>
      <c r="CI34"/>
      <c r="CJ34"/>
      <c r="CK34"/>
      <c r="CL34"/>
      <c r="CM34"/>
    </row>
    <row r="35" spans="1:91" ht="12.75">
      <c r="A35" s="42"/>
      <c r="L35" s="32">
        <v>10</v>
      </c>
      <c r="M35" s="32">
        <v>47</v>
      </c>
      <c r="N35" s="55" t="s">
        <v>77</v>
      </c>
      <c r="O35" s="28">
        <v>0</v>
      </c>
      <c r="P35" s="28">
        <v>0</v>
      </c>
      <c r="Q35" s="28">
        <v>1240</v>
      </c>
      <c r="R35" s="28">
        <v>463</v>
      </c>
      <c r="S35" s="28">
        <v>2600</v>
      </c>
      <c r="AS35" s="29"/>
      <c r="AT35" s="29"/>
      <c r="AU35" s="29"/>
      <c r="AV35" s="29"/>
      <c r="AW35" s="29"/>
      <c r="AX35" s="29"/>
      <c r="AY35" s="29"/>
      <c r="AZ35" s="29"/>
      <c r="BA35" s="29"/>
      <c r="BB35" s="29"/>
      <c r="BC35" s="29"/>
      <c r="BD35" s="29"/>
      <c r="BE35" s="29"/>
      <c r="BF35" s="29"/>
      <c r="BK35"/>
      <c r="BU35"/>
      <c r="BV35"/>
      <c r="BW35"/>
      <c r="BX35"/>
      <c r="BY35"/>
      <c r="BZ35"/>
      <c r="CA35"/>
      <c r="CC35"/>
      <c r="CD35"/>
      <c r="CE35"/>
      <c r="CF35"/>
      <c r="CG35"/>
      <c r="CH35"/>
      <c r="CI35"/>
      <c r="CJ35"/>
      <c r="CK35"/>
      <c r="CL35"/>
      <c r="CM35"/>
    </row>
    <row r="36" spans="1:91" ht="12.75">
      <c r="A36" s="42"/>
      <c r="L36" s="32">
        <v>11</v>
      </c>
      <c r="M36" s="32">
        <v>48</v>
      </c>
      <c r="N36" s="55" t="s">
        <v>42</v>
      </c>
      <c r="O36" s="28">
        <v>0</v>
      </c>
      <c r="P36" s="28">
        <v>366</v>
      </c>
      <c r="Q36" s="28">
        <v>1606</v>
      </c>
      <c r="R36" s="28">
        <v>507</v>
      </c>
      <c r="S36" s="28">
        <v>2491</v>
      </c>
      <c r="AS36" s="29"/>
      <c r="AT36" s="29"/>
      <c r="AU36" s="29"/>
      <c r="AV36" s="29"/>
      <c r="AW36" s="29"/>
      <c r="AX36" s="29"/>
      <c r="AY36" s="29"/>
      <c r="AZ36" s="29"/>
      <c r="BA36" s="29"/>
      <c r="BB36" s="29"/>
      <c r="BC36" s="29"/>
      <c r="BD36" s="29"/>
      <c r="BE36" s="29"/>
      <c r="BF36" s="29"/>
      <c r="BK36"/>
      <c r="BU36"/>
      <c r="BV36"/>
      <c r="BW36"/>
      <c r="BX36"/>
      <c r="BY36"/>
      <c r="BZ36"/>
      <c r="CA36"/>
      <c r="CC36"/>
      <c r="CD36"/>
      <c r="CE36"/>
      <c r="CF36"/>
      <c r="CG36"/>
      <c r="CH36"/>
      <c r="CI36"/>
      <c r="CJ36"/>
      <c r="CK36"/>
      <c r="CL36"/>
      <c r="CM36"/>
    </row>
    <row r="37" spans="1:91" ht="12.75">
      <c r="A37" s="42"/>
      <c r="L37" s="32">
        <v>12</v>
      </c>
      <c r="M37" s="32">
        <v>48</v>
      </c>
      <c r="N37" s="55" t="s">
        <v>41</v>
      </c>
      <c r="O37" s="39">
        <v>0</v>
      </c>
      <c r="P37" s="39">
        <v>366</v>
      </c>
      <c r="Q37" s="39">
        <v>1606</v>
      </c>
      <c r="R37" s="39">
        <v>728</v>
      </c>
      <c r="S37" s="39">
        <v>3395</v>
      </c>
      <c r="AS37" s="29"/>
      <c r="AT37" s="29"/>
      <c r="AU37" s="29"/>
      <c r="AV37" s="29"/>
      <c r="AW37" s="29"/>
      <c r="AX37" s="29"/>
      <c r="AY37" s="29"/>
      <c r="AZ37" s="29"/>
      <c r="BA37" s="29"/>
      <c r="BB37" s="29"/>
      <c r="BC37" s="29"/>
      <c r="BD37" s="29"/>
      <c r="BE37" s="29"/>
      <c r="BF37" s="29"/>
      <c r="BK37"/>
      <c r="BU37"/>
      <c r="BV37"/>
      <c r="BW37"/>
      <c r="BX37"/>
      <c r="BY37"/>
      <c r="BZ37"/>
      <c r="CA37"/>
      <c r="CC37"/>
      <c r="CD37"/>
      <c r="CE37"/>
      <c r="CF37"/>
      <c r="CG37"/>
      <c r="CH37"/>
      <c r="CI37"/>
      <c r="CJ37"/>
      <c r="CK37"/>
      <c r="CL37"/>
      <c r="CM37"/>
    </row>
    <row r="38" spans="1:91" ht="12.75">
      <c r="A38" s="42"/>
      <c r="L38" s="32">
        <v>13</v>
      </c>
      <c r="M38" s="32">
        <v>47</v>
      </c>
      <c r="N38" s="55" t="s">
        <v>37</v>
      </c>
      <c r="O38" s="28">
        <v>0</v>
      </c>
      <c r="P38" s="28">
        <v>0</v>
      </c>
      <c r="Q38" s="28">
        <v>1240</v>
      </c>
      <c r="R38" s="28">
        <v>507</v>
      </c>
      <c r="S38" s="28">
        <v>2688</v>
      </c>
      <c r="AS38" s="29"/>
      <c r="AT38" s="29"/>
      <c r="AU38" s="29"/>
      <c r="AV38" s="29"/>
      <c r="AW38" s="29"/>
      <c r="AX38" s="29"/>
      <c r="AY38" s="29"/>
      <c r="AZ38" s="29"/>
      <c r="BA38" s="29"/>
      <c r="BB38" s="29"/>
      <c r="BC38" s="29"/>
      <c r="BD38" s="29"/>
      <c r="BE38" s="29"/>
      <c r="BF38" s="29"/>
      <c r="BK38"/>
      <c r="BU38"/>
      <c r="BV38"/>
      <c r="BW38"/>
      <c r="BX38"/>
      <c r="BY38"/>
      <c r="BZ38"/>
      <c r="CA38"/>
      <c r="CC38"/>
      <c r="CD38"/>
      <c r="CE38"/>
      <c r="CF38"/>
      <c r="CG38"/>
      <c r="CH38"/>
      <c r="CI38"/>
      <c r="CJ38"/>
      <c r="CK38"/>
      <c r="CL38"/>
      <c r="CM38"/>
    </row>
    <row r="39" spans="1:91" ht="12.75">
      <c r="A39" s="42"/>
      <c r="L39" s="32">
        <v>14</v>
      </c>
      <c r="M39" s="32">
        <v>48</v>
      </c>
      <c r="N39" s="55" t="s">
        <v>43</v>
      </c>
      <c r="O39" s="28">
        <v>0</v>
      </c>
      <c r="P39" s="28">
        <v>366</v>
      </c>
      <c r="Q39" s="28">
        <v>1606</v>
      </c>
      <c r="R39" s="28">
        <v>904</v>
      </c>
      <c r="S39" s="28">
        <v>2843</v>
      </c>
      <c r="AS39" s="29"/>
      <c r="AT39" s="29"/>
      <c r="AU39" s="29"/>
      <c r="AV39" s="29"/>
      <c r="AW39" s="29"/>
      <c r="AX39" s="29"/>
      <c r="AY39" s="29"/>
      <c r="AZ39" s="29"/>
      <c r="BA39" s="29"/>
      <c r="BB39" s="29"/>
      <c r="BC39" s="29"/>
      <c r="BD39" s="29"/>
      <c r="BE39" s="29"/>
      <c r="BF39" s="29"/>
      <c r="BK39"/>
      <c r="BU39"/>
      <c r="BV39"/>
      <c r="BW39"/>
      <c r="BX39"/>
      <c r="BY39"/>
      <c r="BZ39"/>
      <c r="CA39"/>
      <c r="CC39"/>
      <c r="CD39"/>
      <c r="CE39"/>
      <c r="CF39"/>
      <c r="CG39"/>
      <c r="CH39"/>
      <c r="CI39"/>
      <c r="CJ39"/>
      <c r="CK39"/>
      <c r="CL39"/>
      <c r="CM39"/>
    </row>
    <row r="40" spans="1:91" ht="12.75">
      <c r="A40" s="42"/>
      <c r="L40" s="32">
        <v>15</v>
      </c>
      <c r="M40" s="32">
        <v>48</v>
      </c>
      <c r="N40" s="55" t="s">
        <v>46</v>
      </c>
      <c r="O40" s="28">
        <v>0</v>
      </c>
      <c r="P40" s="28">
        <v>366</v>
      </c>
      <c r="Q40" s="28">
        <v>1606</v>
      </c>
      <c r="R40" s="28">
        <v>1191</v>
      </c>
      <c r="S40" s="28">
        <v>3108</v>
      </c>
      <c r="AS40" s="29"/>
      <c r="AT40" s="29"/>
      <c r="AU40" s="29"/>
      <c r="AV40" s="29"/>
      <c r="AW40" s="29"/>
      <c r="AX40" s="29"/>
      <c r="AY40" s="29"/>
      <c r="AZ40" s="29"/>
      <c r="BA40" s="29"/>
      <c r="BB40" s="29"/>
      <c r="BC40" s="29"/>
      <c r="BD40" s="29"/>
      <c r="BE40" s="29"/>
      <c r="BF40" s="29"/>
      <c r="BK40"/>
      <c r="BU40"/>
      <c r="BV40"/>
      <c r="BW40"/>
      <c r="BX40"/>
      <c r="BY40"/>
      <c r="BZ40"/>
      <c r="CA40"/>
      <c r="CC40"/>
      <c r="CD40"/>
      <c r="CE40"/>
      <c r="CF40"/>
      <c r="CG40"/>
      <c r="CH40"/>
      <c r="CI40"/>
      <c r="CJ40"/>
      <c r="CK40"/>
      <c r="CL40"/>
      <c r="CM40"/>
    </row>
    <row r="42" spans="11:50" ht="18">
      <c r="K42" s="40"/>
      <c r="L42" s="40"/>
      <c r="M42" s="40"/>
      <c r="P42" s="40"/>
      <c r="T42" s="262" t="s">
        <v>16</v>
      </c>
      <c r="U42" s="263"/>
      <c r="V42" s="263"/>
      <c r="W42" s="263"/>
      <c r="X42" s="263"/>
      <c r="Y42" s="263"/>
      <c r="Z42" s="263"/>
      <c r="AA42" s="263"/>
      <c r="AR42" s="30"/>
      <c r="AT42" s="30"/>
      <c r="AV42" s="30"/>
      <c r="AX42" s="30"/>
    </row>
    <row r="43" spans="11:50" ht="12.75">
      <c r="K43" s="6"/>
      <c r="L43" s="4"/>
      <c r="M43" s="4"/>
      <c r="P43" s="4"/>
      <c r="T43" s="28"/>
      <c r="U43" s="31" t="s">
        <v>4</v>
      </c>
      <c r="V43" s="31" t="s">
        <v>26</v>
      </c>
      <c r="W43" s="27" t="s">
        <v>62</v>
      </c>
      <c r="X43" s="27" t="s">
        <v>61</v>
      </c>
      <c r="Y43" s="27">
        <v>165</v>
      </c>
      <c r="Z43" s="27">
        <v>450</v>
      </c>
      <c r="AA43" s="27">
        <v>1400</v>
      </c>
      <c r="AR43" s="30"/>
      <c r="AT43" s="30"/>
      <c r="AV43" s="30"/>
      <c r="AX43" s="30"/>
    </row>
    <row r="44" spans="11:50" ht="12.75">
      <c r="K44" s="6"/>
      <c r="L44" s="4"/>
      <c r="M44" s="4"/>
      <c r="P44" s="4"/>
      <c r="T44" s="28">
        <v>1</v>
      </c>
      <c r="U44" s="31" t="s">
        <v>90</v>
      </c>
      <c r="V44" s="31" t="s">
        <v>27</v>
      </c>
      <c r="W44" s="27"/>
      <c r="X44" s="27"/>
      <c r="Y44" s="27"/>
      <c r="Z44" s="27"/>
      <c r="AA44" s="27"/>
      <c r="AR44" s="30"/>
      <c r="AT44" s="30"/>
      <c r="AV44" s="30"/>
      <c r="AX44" s="30"/>
    </row>
    <row r="45" spans="11:50" ht="12.75">
      <c r="K45" s="6"/>
      <c r="L45" s="4"/>
      <c r="M45" s="4"/>
      <c r="P45" s="4"/>
      <c r="T45" s="28">
        <v>2</v>
      </c>
      <c r="U45" s="31">
        <v>9231</v>
      </c>
      <c r="V45" s="31" t="s">
        <v>85</v>
      </c>
      <c r="W45" s="27">
        <v>1</v>
      </c>
      <c r="X45" s="27"/>
      <c r="Y45" s="27">
        <v>1</v>
      </c>
      <c r="Z45" s="27">
        <v>1</v>
      </c>
      <c r="AA45" s="27"/>
      <c r="AR45" s="30"/>
      <c r="AT45" s="30"/>
      <c r="AV45" s="30"/>
      <c r="AX45" s="30"/>
    </row>
    <row r="46" spans="11:50" ht="12.75">
      <c r="K46" s="6"/>
      <c r="L46" s="4"/>
      <c r="M46" s="4"/>
      <c r="P46" s="4"/>
      <c r="T46" s="28">
        <v>3</v>
      </c>
      <c r="U46" s="31">
        <v>9277</v>
      </c>
      <c r="V46" s="31" t="s">
        <v>85</v>
      </c>
      <c r="W46" s="27">
        <v>1</v>
      </c>
      <c r="X46" s="27">
        <v>4</v>
      </c>
      <c r="Y46" s="27">
        <v>1</v>
      </c>
      <c r="Z46" s="27"/>
      <c r="AA46" s="27">
        <v>1</v>
      </c>
      <c r="AR46" s="30"/>
      <c r="AT46" s="30"/>
      <c r="AV46" s="30"/>
      <c r="AX46" s="30"/>
    </row>
    <row r="47" spans="11:50" ht="12.75">
      <c r="K47" s="6"/>
      <c r="L47" s="4"/>
      <c r="M47" s="4"/>
      <c r="P47" s="4"/>
      <c r="T47" s="28">
        <v>4</v>
      </c>
      <c r="U47" s="31">
        <v>9287</v>
      </c>
      <c r="V47" s="31" t="s">
        <v>85</v>
      </c>
      <c r="W47" s="27">
        <v>1</v>
      </c>
      <c r="X47" s="27">
        <v>8</v>
      </c>
      <c r="Y47" s="46">
        <v>1</v>
      </c>
      <c r="Z47" s="46">
        <v>1</v>
      </c>
      <c r="AA47" s="46">
        <v>1</v>
      </c>
      <c r="AR47" s="30"/>
      <c r="AT47" s="30"/>
      <c r="AV47" s="30"/>
      <c r="AX47" s="30"/>
    </row>
    <row r="48" spans="11:50" ht="12.75">
      <c r="K48" s="6"/>
      <c r="L48" s="4"/>
      <c r="M48" s="4"/>
      <c r="P48" s="4"/>
      <c r="T48" s="28">
        <v>5</v>
      </c>
      <c r="U48" s="31">
        <v>9291</v>
      </c>
      <c r="V48" s="31" t="s">
        <v>85</v>
      </c>
      <c r="W48" s="27">
        <v>1</v>
      </c>
      <c r="X48" s="27">
        <v>16</v>
      </c>
      <c r="Y48" s="27">
        <v>1</v>
      </c>
      <c r="Z48" s="27">
        <v>3</v>
      </c>
      <c r="AA48" s="27">
        <v>1</v>
      </c>
      <c r="AR48" s="30"/>
      <c r="AT48" s="30"/>
      <c r="AV48" s="30"/>
      <c r="AX48" s="30"/>
    </row>
    <row r="49" spans="11:31" ht="12.75">
      <c r="K49" s="6"/>
      <c r="L49" s="4"/>
      <c r="M49" s="4"/>
      <c r="O49" s="4"/>
      <c r="P49" s="4"/>
      <c r="Q49" s="4"/>
      <c r="R49" s="4"/>
      <c r="S49" s="4"/>
      <c r="T49" s="28">
        <v>6</v>
      </c>
      <c r="U49" s="33">
        <v>9401</v>
      </c>
      <c r="V49" s="33" t="s">
        <v>27</v>
      </c>
      <c r="W49" s="34">
        <v>1</v>
      </c>
      <c r="X49" s="34"/>
      <c r="Y49" s="34"/>
      <c r="Z49" s="34"/>
      <c r="AA49" s="34"/>
      <c r="AC49" s="29"/>
      <c r="AD49" s="29"/>
      <c r="AE49" s="29"/>
    </row>
    <row r="50" spans="11:31" ht="12.75">
      <c r="K50" s="6"/>
      <c r="L50" s="4"/>
      <c r="M50" s="4"/>
      <c r="O50" s="4"/>
      <c r="P50" s="4"/>
      <c r="Q50" s="4"/>
      <c r="R50" s="4"/>
      <c r="S50" s="4"/>
      <c r="T50" s="28">
        <v>7</v>
      </c>
      <c r="U50" s="33">
        <v>9404</v>
      </c>
      <c r="V50" s="33" t="s">
        <v>27</v>
      </c>
      <c r="W50" s="34">
        <v>1</v>
      </c>
      <c r="X50" s="34">
        <v>4</v>
      </c>
      <c r="Y50" s="34"/>
      <c r="Z50" s="34"/>
      <c r="AA50" s="34"/>
      <c r="AC50" s="29"/>
      <c r="AD50" s="29"/>
      <c r="AE50" s="29"/>
    </row>
    <row r="51" spans="11:31" ht="12.75">
      <c r="K51" s="6"/>
      <c r="L51" s="4"/>
      <c r="M51" s="4"/>
      <c r="P51" s="4"/>
      <c r="Q51" s="4"/>
      <c r="R51" s="4"/>
      <c r="S51" s="4"/>
      <c r="T51" s="28">
        <v>8</v>
      </c>
      <c r="U51" s="33">
        <v>9408</v>
      </c>
      <c r="V51" s="33" t="s">
        <v>27</v>
      </c>
      <c r="W51" s="34">
        <v>1</v>
      </c>
      <c r="X51" s="34">
        <v>8</v>
      </c>
      <c r="Y51" s="34"/>
      <c r="Z51" s="34"/>
      <c r="AA51" s="34"/>
      <c r="AC51" s="29"/>
      <c r="AD51" s="29"/>
      <c r="AE51" s="29"/>
    </row>
    <row r="52" spans="11:31" ht="12.75">
      <c r="K52" s="6"/>
      <c r="L52" s="4"/>
      <c r="M52" s="4"/>
      <c r="O52" s="10"/>
      <c r="P52" s="4"/>
      <c r="Q52" s="10"/>
      <c r="R52" s="10"/>
      <c r="S52" s="10"/>
      <c r="T52" s="28">
        <v>9</v>
      </c>
      <c r="U52" s="33">
        <v>9412</v>
      </c>
      <c r="V52" s="33" t="s">
        <v>27</v>
      </c>
      <c r="W52" s="34">
        <v>1</v>
      </c>
      <c r="X52" s="34">
        <v>12</v>
      </c>
      <c r="Y52" s="34"/>
      <c r="Z52" s="34"/>
      <c r="AA52" s="34"/>
      <c r="AC52" s="29"/>
      <c r="AD52" s="29"/>
      <c r="AE52" s="29"/>
    </row>
    <row r="53" spans="11:31" ht="12.75">
      <c r="K53" s="6"/>
      <c r="L53" s="4"/>
      <c r="M53" s="4"/>
      <c r="O53" s="16"/>
      <c r="P53" s="4"/>
      <c r="Q53" s="16"/>
      <c r="R53" s="16"/>
      <c r="S53" s="16"/>
      <c r="T53" s="28">
        <v>10</v>
      </c>
      <c r="U53" s="33">
        <v>9416</v>
      </c>
      <c r="V53" s="33" t="s">
        <v>27</v>
      </c>
      <c r="W53" s="34">
        <v>1</v>
      </c>
      <c r="X53" s="34">
        <v>16</v>
      </c>
      <c r="Y53" s="34"/>
      <c r="Z53" s="34"/>
      <c r="AA53" s="34"/>
      <c r="AC53" s="29"/>
      <c r="AD53" s="29"/>
      <c r="AE53" s="29"/>
    </row>
    <row r="54" spans="11:31" ht="12.75">
      <c r="K54" s="6"/>
      <c r="L54" s="4"/>
      <c r="M54" s="4"/>
      <c r="O54" s="4"/>
      <c r="P54" s="4"/>
      <c r="Q54" s="4"/>
      <c r="R54" s="4"/>
      <c r="S54" s="4"/>
      <c r="T54" s="28">
        <v>11</v>
      </c>
      <c r="U54" s="33">
        <v>9422</v>
      </c>
      <c r="V54" s="33" t="s">
        <v>27</v>
      </c>
      <c r="W54" s="34">
        <v>1</v>
      </c>
      <c r="X54" s="34">
        <v>22</v>
      </c>
      <c r="Y54" s="34"/>
      <c r="Z54" s="34"/>
      <c r="AA54" s="34"/>
      <c r="AC54" s="29"/>
      <c r="AD54" s="29"/>
      <c r="AE54" s="29"/>
    </row>
    <row r="55" spans="11:31" ht="12.75">
      <c r="K55" s="15"/>
      <c r="L55" s="16"/>
      <c r="M55" s="16"/>
      <c r="N55" s="4"/>
      <c r="O55" s="4"/>
      <c r="P55" s="16"/>
      <c r="Q55" s="4"/>
      <c r="T55" s="28">
        <v>12</v>
      </c>
      <c r="U55" s="35">
        <v>9264</v>
      </c>
      <c r="V55" s="35" t="s">
        <v>27</v>
      </c>
      <c r="W55" s="36"/>
      <c r="X55" s="36"/>
      <c r="Y55" s="36"/>
      <c r="Z55" s="36">
        <v>1</v>
      </c>
      <c r="AA55" s="36"/>
      <c r="AC55" s="29"/>
      <c r="AD55" s="29"/>
      <c r="AE55" s="29"/>
    </row>
    <row r="56" spans="11:31" ht="12.75">
      <c r="K56" s="6"/>
      <c r="L56" s="4"/>
      <c r="M56" s="4"/>
      <c r="N56" s="4"/>
      <c r="O56" s="4"/>
      <c r="P56" s="4"/>
      <c r="Q56" s="4"/>
      <c r="R56" s="4"/>
      <c r="S56" s="4"/>
      <c r="T56" s="28">
        <v>13</v>
      </c>
      <c r="U56" s="33">
        <v>9266</v>
      </c>
      <c r="V56" s="33" t="s">
        <v>27</v>
      </c>
      <c r="W56" s="34"/>
      <c r="X56" s="34"/>
      <c r="Y56" s="34"/>
      <c r="Z56" s="34">
        <v>2</v>
      </c>
      <c r="AA56" s="34"/>
      <c r="AC56" s="29"/>
      <c r="AD56" s="29"/>
      <c r="AE56" s="29"/>
    </row>
    <row r="57" spans="11:50" ht="12.75">
      <c r="K57" s="6"/>
      <c r="L57" s="4"/>
      <c r="M57" s="4"/>
      <c r="P57" s="4"/>
      <c r="T57" s="28">
        <v>14</v>
      </c>
      <c r="U57" s="33">
        <v>9228</v>
      </c>
      <c r="V57" s="33" t="s">
        <v>27</v>
      </c>
      <c r="W57" s="34"/>
      <c r="X57" s="34"/>
      <c r="Y57" s="34"/>
      <c r="Z57" s="34"/>
      <c r="AA57" s="34">
        <v>1</v>
      </c>
      <c r="AR57" s="30"/>
      <c r="AT57" s="30"/>
      <c r="AV57" s="30"/>
      <c r="AX57" s="30"/>
    </row>
    <row r="58" spans="11:50" ht="12.75">
      <c r="K58" s="6"/>
      <c r="L58" s="4"/>
      <c r="M58" s="4"/>
      <c r="P58" s="4"/>
      <c r="T58" s="28">
        <v>15</v>
      </c>
      <c r="U58" s="31">
        <v>9021</v>
      </c>
      <c r="V58" s="31" t="s">
        <v>85</v>
      </c>
      <c r="W58" s="27"/>
      <c r="X58" s="27"/>
      <c r="Y58" s="27">
        <v>1</v>
      </c>
      <c r="Z58" s="27">
        <v>1</v>
      </c>
      <c r="AA58" s="27"/>
      <c r="AR58" s="30"/>
      <c r="AT58" s="30"/>
      <c r="AV58" s="30"/>
      <c r="AX58" s="30"/>
    </row>
    <row r="59" spans="11:50" ht="12.75">
      <c r="K59" s="6"/>
      <c r="L59" s="4"/>
      <c r="M59" s="4"/>
      <c r="P59" s="4"/>
      <c r="T59" s="28">
        <v>16</v>
      </c>
      <c r="U59" s="31">
        <v>9283</v>
      </c>
      <c r="V59" s="31" t="s">
        <v>85</v>
      </c>
      <c r="W59" s="27"/>
      <c r="X59" s="27"/>
      <c r="Y59" s="27">
        <v>1</v>
      </c>
      <c r="Z59" s="27">
        <v>2</v>
      </c>
      <c r="AA59" s="27"/>
      <c r="AR59" s="30"/>
      <c r="AT59" s="30"/>
      <c r="AV59" s="30"/>
      <c r="AX59" s="30"/>
    </row>
    <row r="60" spans="11:50" ht="12.75">
      <c r="K60" s="6"/>
      <c r="L60" s="4"/>
      <c r="M60" s="4"/>
      <c r="P60" s="4"/>
      <c r="T60" s="28">
        <v>17</v>
      </c>
      <c r="U60" s="31">
        <v>9276</v>
      </c>
      <c r="V60" s="31" t="s">
        <v>85</v>
      </c>
      <c r="W60" s="27"/>
      <c r="X60" s="27"/>
      <c r="Y60" s="27">
        <v>1</v>
      </c>
      <c r="Z60" s="27">
        <v>3</v>
      </c>
      <c r="AA60" s="27"/>
      <c r="AR60" s="30"/>
      <c r="AT60" s="30"/>
      <c r="AV60" s="30"/>
      <c r="AX60" s="30"/>
    </row>
    <row r="61" spans="11:50" ht="12.75">
      <c r="K61" s="6"/>
      <c r="L61" s="4"/>
      <c r="M61" s="4"/>
      <c r="P61" s="4"/>
      <c r="T61" s="10"/>
      <c r="U61" s="6"/>
      <c r="V61" s="6"/>
      <c r="W61" s="4"/>
      <c r="X61" s="4"/>
      <c r="Y61" s="4"/>
      <c r="Z61" s="4"/>
      <c r="AA61" s="4"/>
      <c r="AR61" s="30"/>
      <c r="AT61" s="30"/>
      <c r="AV61" s="30"/>
      <c r="AX61" s="30"/>
    </row>
    <row r="62" spans="11:53" ht="12.75">
      <c r="K62" s="5"/>
      <c r="L62" s="5"/>
      <c r="M62" s="5"/>
      <c r="O62" s="4"/>
      <c r="P62" s="6"/>
      <c r="Q62" s="4"/>
      <c r="R62" s="4"/>
      <c r="S62" s="4"/>
      <c r="AB62" s="264" t="s">
        <v>109</v>
      </c>
      <c r="AC62" s="264"/>
      <c r="AD62" s="264"/>
      <c r="AE62" s="264"/>
      <c r="AF62" s="264"/>
      <c r="AG62" s="264"/>
      <c r="AH62" s="264"/>
      <c r="AI62" s="264"/>
      <c r="AJ62" s="264"/>
      <c r="AK62" s="264"/>
      <c r="AL62" s="264"/>
      <c r="AM62" s="264"/>
      <c r="AN62" s="264"/>
      <c r="AO62" s="264"/>
      <c r="AP62" s="264"/>
      <c r="AQ62" s="264"/>
      <c r="AR62" s="264"/>
      <c r="AS62" s="264"/>
      <c r="AT62" s="264"/>
      <c r="AU62" s="264"/>
      <c r="AV62" s="264"/>
      <c r="AW62" s="264"/>
      <c r="AX62" s="264"/>
      <c r="AY62" s="264"/>
      <c r="AZ62" s="264"/>
      <c r="BA62" s="264"/>
    </row>
    <row r="63" spans="11:53" ht="12.75">
      <c r="K63" s="5"/>
      <c r="L63" s="5"/>
      <c r="M63" s="5"/>
      <c r="O63" s="4"/>
      <c r="P63" s="6"/>
      <c r="Q63" s="4"/>
      <c r="R63" s="4"/>
      <c r="S63" s="4"/>
      <c r="AB63" s="265" t="s">
        <v>107</v>
      </c>
      <c r="AC63" s="265"/>
      <c r="AD63" s="265"/>
      <c r="AE63" s="265"/>
      <c r="AG63" s="265" t="s">
        <v>108</v>
      </c>
      <c r="AH63" s="265"/>
      <c r="AI63" s="265"/>
      <c r="AJ63" s="265"/>
      <c r="AK63" s="265"/>
      <c r="AL63" s="265"/>
      <c r="AM63" s="265"/>
      <c r="AN63" s="265"/>
      <c r="AO63" s="265"/>
      <c r="AP63" s="265"/>
      <c r="AQ63" s="265"/>
      <c r="AR63" s="265"/>
      <c r="AS63" s="265"/>
      <c r="AT63" s="265"/>
      <c r="AU63" s="265"/>
      <c r="AV63" s="265"/>
      <c r="AW63" s="265"/>
      <c r="AX63" s="265"/>
      <c r="AZ63" s="266" t="s">
        <v>89</v>
      </c>
      <c r="BA63" s="267"/>
    </row>
    <row r="64" spans="28:55" ht="24.75" customHeight="1">
      <c r="AB64" s="28"/>
      <c r="AC64" s="27" t="s">
        <v>37</v>
      </c>
      <c r="AD64" s="46" t="s">
        <v>43</v>
      </c>
      <c r="AE64" s="27" t="s">
        <v>46</v>
      </c>
      <c r="AG64" s="28"/>
      <c r="AH64" s="27" t="s">
        <v>78</v>
      </c>
      <c r="AI64" s="27" t="s">
        <v>79</v>
      </c>
      <c r="AJ64" s="27" t="s">
        <v>80</v>
      </c>
      <c r="AK64" s="27" t="s">
        <v>81</v>
      </c>
      <c r="AL64" s="27" t="s">
        <v>36</v>
      </c>
      <c r="AM64" s="27" t="s">
        <v>35</v>
      </c>
      <c r="AN64" s="27" t="s">
        <v>77</v>
      </c>
      <c r="AO64" s="27" t="s">
        <v>37</v>
      </c>
      <c r="AP64" s="27" t="s">
        <v>38</v>
      </c>
      <c r="AQ64" s="27" t="s">
        <v>40</v>
      </c>
      <c r="AR64" s="27" t="s">
        <v>39</v>
      </c>
      <c r="AS64" s="27" t="s">
        <v>42</v>
      </c>
      <c r="AT64" s="27" t="s">
        <v>43</v>
      </c>
      <c r="AU64" s="27" t="s">
        <v>46</v>
      </c>
      <c r="AV64" s="46" t="s">
        <v>41</v>
      </c>
      <c r="AW64" s="46" t="s">
        <v>45</v>
      </c>
      <c r="AX64" s="46" t="s">
        <v>44</v>
      </c>
      <c r="AZ64" s="219" t="str">
        <f>VLOOKUP('8030 Ballast Calculator'!D31,L26:N40,3,FALSE)</f>
        <v>480/80R50</v>
      </c>
      <c r="BA64" s="220"/>
      <c r="BC64" s="10"/>
    </row>
    <row r="65" spans="28:55" ht="12.75">
      <c r="AB65" s="32">
        <v>10000</v>
      </c>
      <c r="AC65" s="64">
        <v>8</v>
      </c>
      <c r="AD65" s="64">
        <v>8</v>
      </c>
      <c r="AE65" s="64">
        <v>8</v>
      </c>
      <c r="AG65" s="32">
        <v>10000</v>
      </c>
      <c r="AH65" s="64">
        <v>10</v>
      </c>
      <c r="AI65" s="64">
        <v>6</v>
      </c>
      <c r="AJ65" s="64">
        <v>6</v>
      </c>
      <c r="AK65" s="64">
        <v>6</v>
      </c>
      <c r="AL65" s="64">
        <v>6</v>
      </c>
      <c r="AM65" s="64">
        <v>6</v>
      </c>
      <c r="AN65" s="64">
        <v>6</v>
      </c>
      <c r="AO65" s="64">
        <v>6</v>
      </c>
      <c r="AP65" s="64">
        <v>6</v>
      </c>
      <c r="AQ65" s="64">
        <v>6</v>
      </c>
      <c r="AR65" s="64">
        <v>6</v>
      </c>
      <c r="AS65" s="64">
        <v>6</v>
      </c>
      <c r="AT65" s="64">
        <v>6</v>
      </c>
      <c r="AU65" s="64">
        <v>6</v>
      </c>
      <c r="AV65" s="64">
        <v>6</v>
      </c>
      <c r="AW65" s="64">
        <v>6</v>
      </c>
      <c r="AX65" s="64">
        <v>6</v>
      </c>
      <c r="AZ65" s="32">
        <v>10000</v>
      </c>
      <c r="BA65" s="28">
        <f>IF('8030 Ballast Calculator'!D33=2,HLOOKUP('8030 Ballast Calculator'!E31,AC64:AE105,2,FALSE),HLOOKUP('8030 Ballast Calculator'!E31,AH64:AX105,2,FALSE))</f>
        <v>6</v>
      </c>
      <c r="BC65" s="10"/>
    </row>
    <row r="66" spans="28:55" ht="12.75">
      <c r="AB66" s="37">
        <v>10500</v>
      </c>
      <c r="AC66" s="64">
        <v>8</v>
      </c>
      <c r="AD66" s="64">
        <v>8</v>
      </c>
      <c r="AE66" s="64">
        <v>8</v>
      </c>
      <c r="AG66" s="37">
        <v>10500</v>
      </c>
      <c r="AH66" s="64">
        <v>10</v>
      </c>
      <c r="AI66" s="64">
        <v>7</v>
      </c>
      <c r="AJ66" s="64">
        <v>6</v>
      </c>
      <c r="AK66" s="64">
        <v>6</v>
      </c>
      <c r="AL66" s="64">
        <v>6</v>
      </c>
      <c r="AM66" s="64">
        <v>6</v>
      </c>
      <c r="AN66" s="64">
        <v>6</v>
      </c>
      <c r="AO66" s="64">
        <v>6</v>
      </c>
      <c r="AP66" s="64">
        <v>6</v>
      </c>
      <c r="AQ66" s="64">
        <v>6</v>
      </c>
      <c r="AR66" s="64">
        <v>6</v>
      </c>
      <c r="AS66" s="64">
        <v>6</v>
      </c>
      <c r="AT66" s="64">
        <v>6</v>
      </c>
      <c r="AU66" s="64">
        <v>6</v>
      </c>
      <c r="AV66" s="64">
        <v>6</v>
      </c>
      <c r="AW66" s="64">
        <v>6</v>
      </c>
      <c r="AX66" s="64">
        <v>6</v>
      </c>
      <c r="AY66" s="5"/>
      <c r="AZ66" s="37">
        <v>10500</v>
      </c>
      <c r="BA66" s="28">
        <f>IF('8030 Ballast Calculator'!D33=2,HLOOKUP('8030 Ballast Calculator'!E31,AC64:AE105,3,FALSE),HLOOKUP('8030 Ballast Calculator'!E31,AH64:AX105,3,FALSE))</f>
        <v>6</v>
      </c>
      <c r="BC66" s="10"/>
    </row>
    <row r="67" spans="28:55" ht="12.75" customHeight="1">
      <c r="AB67" s="37">
        <v>11000</v>
      </c>
      <c r="AC67" s="64">
        <v>8</v>
      </c>
      <c r="AD67" s="64">
        <v>8</v>
      </c>
      <c r="AE67" s="64">
        <v>8</v>
      </c>
      <c r="AG67" s="37">
        <v>11000</v>
      </c>
      <c r="AH67" s="64">
        <v>11</v>
      </c>
      <c r="AI67" s="64">
        <v>7</v>
      </c>
      <c r="AJ67" s="64">
        <v>6</v>
      </c>
      <c r="AK67" s="64">
        <v>6</v>
      </c>
      <c r="AL67" s="64">
        <v>6</v>
      </c>
      <c r="AM67" s="64">
        <v>6</v>
      </c>
      <c r="AN67" s="64">
        <v>6</v>
      </c>
      <c r="AO67" s="64">
        <v>6</v>
      </c>
      <c r="AP67" s="64">
        <v>7</v>
      </c>
      <c r="AQ67" s="64">
        <v>6</v>
      </c>
      <c r="AR67" s="64">
        <v>6</v>
      </c>
      <c r="AS67" s="64">
        <v>6</v>
      </c>
      <c r="AT67" s="64">
        <v>6</v>
      </c>
      <c r="AU67" s="64">
        <v>6</v>
      </c>
      <c r="AV67" s="64">
        <v>6</v>
      </c>
      <c r="AW67" s="64">
        <v>6</v>
      </c>
      <c r="AX67" s="64">
        <v>6</v>
      </c>
      <c r="AY67" s="5"/>
      <c r="AZ67" s="37">
        <v>11000</v>
      </c>
      <c r="BA67" s="28">
        <f>IF('8030 Ballast Calculator'!D33=2,HLOOKUP('8030 Ballast Calculator'!E31,AC64:AE105,4,FALSE),HLOOKUP('8030 Ballast Calculator'!E31,AH64:AX105,4,FALSE))</f>
        <v>6</v>
      </c>
      <c r="BC67" s="10"/>
    </row>
    <row r="68" spans="28:55" ht="13.5" customHeight="1">
      <c r="AB68" s="37">
        <v>11500</v>
      </c>
      <c r="AC68" s="64">
        <v>8</v>
      </c>
      <c r="AD68" s="64">
        <v>8</v>
      </c>
      <c r="AE68" s="64">
        <v>8</v>
      </c>
      <c r="AG68" s="37">
        <v>11500</v>
      </c>
      <c r="AH68" s="64">
        <v>12</v>
      </c>
      <c r="AI68" s="64">
        <v>8</v>
      </c>
      <c r="AJ68" s="64">
        <v>6</v>
      </c>
      <c r="AK68" s="64">
        <v>6</v>
      </c>
      <c r="AL68" s="64">
        <v>6</v>
      </c>
      <c r="AM68" s="64">
        <v>6</v>
      </c>
      <c r="AN68" s="64">
        <v>6</v>
      </c>
      <c r="AO68" s="64">
        <v>6</v>
      </c>
      <c r="AP68" s="64">
        <v>7</v>
      </c>
      <c r="AQ68" s="64">
        <v>6</v>
      </c>
      <c r="AR68" s="64">
        <v>6</v>
      </c>
      <c r="AS68" s="64">
        <v>6</v>
      </c>
      <c r="AT68" s="64">
        <v>6</v>
      </c>
      <c r="AU68" s="64">
        <v>6</v>
      </c>
      <c r="AV68" s="64">
        <v>6</v>
      </c>
      <c r="AW68" s="64">
        <v>6</v>
      </c>
      <c r="AX68" s="64">
        <v>6</v>
      </c>
      <c r="AY68" s="5"/>
      <c r="AZ68" s="37">
        <v>11500</v>
      </c>
      <c r="BA68" s="28">
        <f>IF('8030 Ballast Calculator'!D33=2,HLOOKUP('8030 Ballast Calculator'!E31,AC64:AE105,5,FALSE),HLOOKUP('8030 Ballast Calculator'!E31,AH64:AX105,5,FALSE))</f>
        <v>6</v>
      </c>
      <c r="BC68" s="10"/>
    </row>
    <row r="69" spans="28:55" ht="13.5" customHeight="1">
      <c r="AB69" s="37">
        <v>12000</v>
      </c>
      <c r="AC69" s="64">
        <v>8</v>
      </c>
      <c r="AD69" s="64">
        <v>8</v>
      </c>
      <c r="AE69" s="64">
        <v>8</v>
      </c>
      <c r="AG69" s="37">
        <v>12000</v>
      </c>
      <c r="AH69" s="64">
        <v>13</v>
      </c>
      <c r="AI69" s="64">
        <v>9</v>
      </c>
      <c r="AJ69" s="64">
        <v>7</v>
      </c>
      <c r="AK69" s="64">
        <v>6</v>
      </c>
      <c r="AL69" s="64">
        <v>6</v>
      </c>
      <c r="AM69" s="64">
        <v>6</v>
      </c>
      <c r="AN69" s="64">
        <v>6</v>
      </c>
      <c r="AO69" s="64">
        <v>6</v>
      </c>
      <c r="AP69" s="64">
        <v>8</v>
      </c>
      <c r="AQ69" s="64">
        <v>6</v>
      </c>
      <c r="AR69" s="64">
        <v>6</v>
      </c>
      <c r="AS69" s="64">
        <v>6</v>
      </c>
      <c r="AT69" s="64">
        <v>6</v>
      </c>
      <c r="AU69" s="64">
        <v>6</v>
      </c>
      <c r="AV69" s="64">
        <v>6</v>
      </c>
      <c r="AW69" s="64">
        <v>6</v>
      </c>
      <c r="AX69" s="64">
        <v>6</v>
      </c>
      <c r="AY69" s="5"/>
      <c r="AZ69" s="37">
        <v>12000</v>
      </c>
      <c r="BA69" s="28">
        <f>IF('8030 Ballast Calculator'!D33=2,HLOOKUP('8030 Ballast Calculator'!E31,AC64:AE105,6,FALSE),HLOOKUP('8030 Ballast Calculator'!E31,AH64:AX105,6,FALSE))</f>
        <v>6</v>
      </c>
      <c r="BC69" s="10"/>
    </row>
    <row r="70" spans="28:55" ht="12.75">
      <c r="AB70" s="37">
        <v>12500</v>
      </c>
      <c r="AC70" s="64">
        <v>9</v>
      </c>
      <c r="AD70" s="64">
        <v>8</v>
      </c>
      <c r="AE70" s="64">
        <v>8</v>
      </c>
      <c r="AG70" s="37">
        <v>12500</v>
      </c>
      <c r="AH70" s="64">
        <v>14</v>
      </c>
      <c r="AI70" s="64">
        <v>10</v>
      </c>
      <c r="AJ70" s="64">
        <v>7</v>
      </c>
      <c r="AK70" s="64">
        <v>6</v>
      </c>
      <c r="AL70" s="64">
        <v>6</v>
      </c>
      <c r="AM70" s="64">
        <v>6</v>
      </c>
      <c r="AN70" s="64">
        <v>6</v>
      </c>
      <c r="AO70" s="64">
        <v>6</v>
      </c>
      <c r="AP70" s="64">
        <v>9</v>
      </c>
      <c r="AQ70" s="64">
        <v>6</v>
      </c>
      <c r="AR70" s="64">
        <v>7</v>
      </c>
      <c r="AS70" s="64">
        <v>6</v>
      </c>
      <c r="AT70" s="64">
        <v>6</v>
      </c>
      <c r="AU70" s="64">
        <v>6</v>
      </c>
      <c r="AV70" s="64">
        <v>6</v>
      </c>
      <c r="AW70" s="64">
        <v>6</v>
      </c>
      <c r="AX70" s="64">
        <v>6</v>
      </c>
      <c r="AY70" s="5"/>
      <c r="AZ70" s="37">
        <v>12500</v>
      </c>
      <c r="BA70" s="28">
        <f>IF('8030 Ballast Calculator'!D33=2,HLOOKUP('8030 Ballast Calculator'!E31,AC64:AE105,7,FALSE),HLOOKUP('8030 Ballast Calculator'!E31,AH64:AX105,7,FALSE))</f>
        <v>7</v>
      </c>
      <c r="BC70" s="10"/>
    </row>
    <row r="71" spans="28:55" ht="12.75">
      <c r="AB71" s="37">
        <v>13000</v>
      </c>
      <c r="AC71" s="64">
        <v>10</v>
      </c>
      <c r="AD71" s="64">
        <v>8</v>
      </c>
      <c r="AE71" s="64">
        <v>8</v>
      </c>
      <c r="AG71" s="37">
        <v>13000</v>
      </c>
      <c r="AH71" s="64">
        <v>15</v>
      </c>
      <c r="AI71" s="64">
        <v>10</v>
      </c>
      <c r="AJ71" s="64">
        <v>8</v>
      </c>
      <c r="AK71" s="64">
        <v>6</v>
      </c>
      <c r="AL71" s="64">
        <v>6</v>
      </c>
      <c r="AM71" s="64">
        <v>7</v>
      </c>
      <c r="AN71" s="64">
        <v>6</v>
      </c>
      <c r="AO71" s="64">
        <v>6</v>
      </c>
      <c r="AP71" s="64">
        <v>10</v>
      </c>
      <c r="AQ71" s="64">
        <v>6</v>
      </c>
      <c r="AR71" s="64">
        <v>7</v>
      </c>
      <c r="AS71" s="64">
        <v>6</v>
      </c>
      <c r="AT71" s="64">
        <v>6</v>
      </c>
      <c r="AU71" s="64">
        <v>6</v>
      </c>
      <c r="AV71" s="64">
        <v>6</v>
      </c>
      <c r="AW71" s="64">
        <v>6</v>
      </c>
      <c r="AX71" s="64">
        <v>6</v>
      </c>
      <c r="AY71" s="5"/>
      <c r="AZ71" s="37">
        <v>13000</v>
      </c>
      <c r="BA71" s="28">
        <f>IF('8030 Ballast Calculator'!D33=2,HLOOKUP('8030 Ballast Calculator'!E31,AC64:AE105,8,FALSE),HLOOKUP('8030 Ballast Calculator'!E31,AH64:AX105,8,FALSE))</f>
        <v>7</v>
      </c>
      <c r="BC71" s="10"/>
    </row>
    <row r="72" spans="28:55" ht="12.75">
      <c r="AB72" s="37">
        <v>13500</v>
      </c>
      <c r="AC72" s="64">
        <v>10</v>
      </c>
      <c r="AD72" s="64">
        <v>8</v>
      </c>
      <c r="AE72" s="64">
        <v>8</v>
      </c>
      <c r="AG72" s="37">
        <v>13500</v>
      </c>
      <c r="AH72" s="64">
        <v>16</v>
      </c>
      <c r="AI72" s="64">
        <v>11</v>
      </c>
      <c r="AJ72" s="64">
        <v>8</v>
      </c>
      <c r="AK72" s="64">
        <v>7</v>
      </c>
      <c r="AL72" s="64">
        <v>6</v>
      </c>
      <c r="AM72" s="64">
        <v>7</v>
      </c>
      <c r="AN72" s="64">
        <v>6</v>
      </c>
      <c r="AO72" s="64">
        <v>6</v>
      </c>
      <c r="AP72" s="64">
        <v>10</v>
      </c>
      <c r="AQ72" s="64">
        <v>6</v>
      </c>
      <c r="AR72" s="64">
        <v>7</v>
      </c>
      <c r="AS72" s="64">
        <v>6</v>
      </c>
      <c r="AT72" s="64">
        <v>6</v>
      </c>
      <c r="AU72" s="64">
        <v>6</v>
      </c>
      <c r="AV72" s="64">
        <v>6</v>
      </c>
      <c r="AW72" s="64">
        <v>6</v>
      </c>
      <c r="AX72" s="64">
        <v>6</v>
      </c>
      <c r="AY72" s="5"/>
      <c r="AZ72" s="37">
        <v>13500</v>
      </c>
      <c r="BA72" s="28">
        <f>IF('8030 Ballast Calculator'!D33=2,HLOOKUP('8030 Ballast Calculator'!E31,AC64:AE105,9,FALSE),HLOOKUP('8030 Ballast Calculator'!E31,AH64:AX105,9,FALSE))</f>
        <v>7</v>
      </c>
      <c r="BC72" s="10"/>
    </row>
    <row r="73" spans="28:55" ht="12.75">
      <c r="AB73" s="37">
        <v>14000</v>
      </c>
      <c r="AC73" s="64">
        <v>11</v>
      </c>
      <c r="AD73" s="64">
        <v>9</v>
      </c>
      <c r="AE73" s="64">
        <v>8</v>
      </c>
      <c r="AG73" s="37">
        <v>14000</v>
      </c>
      <c r="AH73" s="64">
        <v>16</v>
      </c>
      <c r="AI73" s="64">
        <v>12</v>
      </c>
      <c r="AJ73" s="64">
        <v>9</v>
      </c>
      <c r="AK73" s="64">
        <v>7</v>
      </c>
      <c r="AL73" s="64">
        <v>6</v>
      </c>
      <c r="AM73" s="64">
        <v>8</v>
      </c>
      <c r="AN73" s="64">
        <v>6</v>
      </c>
      <c r="AO73" s="64">
        <v>6</v>
      </c>
      <c r="AP73" s="64">
        <v>11</v>
      </c>
      <c r="AQ73" s="64">
        <v>6</v>
      </c>
      <c r="AR73" s="64">
        <v>7</v>
      </c>
      <c r="AS73" s="64">
        <v>6</v>
      </c>
      <c r="AT73" s="64">
        <v>6</v>
      </c>
      <c r="AU73" s="64">
        <v>6</v>
      </c>
      <c r="AV73" s="64">
        <v>6</v>
      </c>
      <c r="AW73" s="64">
        <v>6</v>
      </c>
      <c r="AX73" s="64">
        <v>6</v>
      </c>
      <c r="AY73" s="5"/>
      <c r="AZ73" s="37">
        <v>14000</v>
      </c>
      <c r="BA73" s="28">
        <f>IF('8030 Ballast Calculator'!D33=2,HLOOKUP('8030 Ballast Calculator'!E31,AC64:AE105,10,FALSE),HLOOKUP('8030 Ballast Calculator'!E31,AH64:AX105,10,FALSE))</f>
        <v>7</v>
      </c>
      <c r="BC73" s="10"/>
    </row>
    <row r="74" spans="22:55" ht="15.75">
      <c r="V74" s="53"/>
      <c r="W74" s="53"/>
      <c r="X74" s="53"/>
      <c r="AB74" s="37">
        <v>14500</v>
      </c>
      <c r="AC74" s="64">
        <v>12</v>
      </c>
      <c r="AD74" s="64">
        <v>9</v>
      </c>
      <c r="AE74" s="64">
        <v>8</v>
      </c>
      <c r="AG74" s="37">
        <v>14500</v>
      </c>
      <c r="AH74" s="64">
        <v>17</v>
      </c>
      <c r="AI74" s="64">
        <v>13</v>
      </c>
      <c r="AJ74" s="64">
        <v>9</v>
      </c>
      <c r="AK74" s="64">
        <v>7</v>
      </c>
      <c r="AL74" s="64">
        <v>7</v>
      </c>
      <c r="AM74" s="64">
        <v>8</v>
      </c>
      <c r="AN74" s="64">
        <v>6</v>
      </c>
      <c r="AO74" s="64">
        <v>6</v>
      </c>
      <c r="AP74" s="64">
        <v>11</v>
      </c>
      <c r="AQ74" s="64">
        <v>6</v>
      </c>
      <c r="AR74" s="64">
        <v>8</v>
      </c>
      <c r="AS74" s="64">
        <v>6</v>
      </c>
      <c r="AT74" s="64">
        <v>6</v>
      </c>
      <c r="AU74" s="64">
        <v>6</v>
      </c>
      <c r="AV74" s="64">
        <v>6</v>
      </c>
      <c r="AW74" s="64">
        <v>6</v>
      </c>
      <c r="AX74" s="64">
        <v>6</v>
      </c>
      <c r="AY74" s="5"/>
      <c r="AZ74" s="37">
        <v>14500</v>
      </c>
      <c r="BA74" s="28">
        <f>IF('8030 Ballast Calculator'!D33=2,HLOOKUP('8030 Ballast Calculator'!E31,AC64:AE105,11,FALSE),HLOOKUP('8030 Ballast Calculator'!E31,AH64:AX105,11,FALSE))</f>
        <v>8</v>
      </c>
      <c r="BC74" s="10"/>
    </row>
    <row r="75" spans="22:55" ht="12.75">
      <c r="V75" s="6"/>
      <c r="W75" s="10"/>
      <c r="X75" s="54"/>
      <c r="AB75" s="37">
        <v>15000</v>
      </c>
      <c r="AC75" s="64">
        <v>13</v>
      </c>
      <c r="AD75" s="64">
        <v>10</v>
      </c>
      <c r="AE75" s="64">
        <v>9</v>
      </c>
      <c r="AG75" s="37">
        <v>15000</v>
      </c>
      <c r="AH75" s="64">
        <v>17</v>
      </c>
      <c r="AI75" s="64">
        <v>13</v>
      </c>
      <c r="AJ75" s="64">
        <v>10</v>
      </c>
      <c r="AK75" s="64">
        <v>8</v>
      </c>
      <c r="AL75" s="64">
        <v>7</v>
      </c>
      <c r="AM75" s="64">
        <v>9</v>
      </c>
      <c r="AN75" s="64">
        <v>6</v>
      </c>
      <c r="AO75" s="64">
        <v>6</v>
      </c>
      <c r="AP75" s="64">
        <v>12</v>
      </c>
      <c r="AQ75" s="64">
        <v>6</v>
      </c>
      <c r="AR75" s="64">
        <v>8</v>
      </c>
      <c r="AS75" s="64">
        <v>6</v>
      </c>
      <c r="AT75" s="64">
        <v>6</v>
      </c>
      <c r="AU75" s="64">
        <v>6</v>
      </c>
      <c r="AV75" s="64">
        <v>6</v>
      </c>
      <c r="AW75" s="64">
        <v>6</v>
      </c>
      <c r="AX75" s="64">
        <v>6</v>
      </c>
      <c r="AY75" s="5"/>
      <c r="AZ75" s="37">
        <v>15000</v>
      </c>
      <c r="BA75" s="28">
        <f>IF('8030 Ballast Calculator'!D33=2,HLOOKUP('8030 Ballast Calculator'!E31,AC64:AE105,12,FALSE),HLOOKUP('8030 Ballast Calculator'!E31,AH64:AX105,12,FALSE))</f>
        <v>8</v>
      </c>
      <c r="BC75" s="10"/>
    </row>
    <row r="76" spans="18:55" ht="12.75">
      <c r="R76" s="51"/>
      <c r="S76" s="51"/>
      <c r="V76" s="6"/>
      <c r="W76" s="10"/>
      <c r="X76" s="6"/>
      <c r="AB76" s="37">
        <v>15500</v>
      </c>
      <c r="AC76" s="64">
        <v>13</v>
      </c>
      <c r="AD76" s="64">
        <v>10</v>
      </c>
      <c r="AE76" s="64">
        <v>9</v>
      </c>
      <c r="AG76" s="37">
        <v>15500</v>
      </c>
      <c r="AH76" s="64">
        <v>18</v>
      </c>
      <c r="AI76" s="64">
        <v>14</v>
      </c>
      <c r="AJ76" s="64">
        <v>10</v>
      </c>
      <c r="AK76" s="64">
        <v>8</v>
      </c>
      <c r="AL76" s="64">
        <v>7</v>
      </c>
      <c r="AM76" s="64">
        <v>10</v>
      </c>
      <c r="AN76" s="64">
        <v>6</v>
      </c>
      <c r="AO76" s="64">
        <v>6</v>
      </c>
      <c r="AP76" s="64">
        <v>13</v>
      </c>
      <c r="AQ76" s="64">
        <v>7</v>
      </c>
      <c r="AR76" s="64">
        <v>9</v>
      </c>
      <c r="AS76" s="64">
        <v>6</v>
      </c>
      <c r="AT76" s="64">
        <v>6</v>
      </c>
      <c r="AU76" s="64">
        <v>6</v>
      </c>
      <c r="AV76" s="64">
        <v>6</v>
      </c>
      <c r="AW76" s="64">
        <v>6</v>
      </c>
      <c r="AX76" s="64">
        <v>6</v>
      </c>
      <c r="AY76" s="5"/>
      <c r="AZ76" s="37">
        <v>15500</v>
      </c>
      <c r="BA76" s="28">
        <f>IF('8030 Ballast Calculator'!D33=2,HLOOKUP('8030 Ballast Calculator'!E31,AC64:AE105,13,FALSE),HLOOKUP('8030 Ballast Calculator'!E31,AH64:AX105,13,FALSE))</f>
        <v>9</v>
      </c>
      <c r="BC76" s="10"/>
    </row>
    <row r="77" spans="18:55" ht="12.75">
      <c r="R77" s="48"/>
      <c r="S77" s="48"/>
      <c r="T77" s="48"/>
      <c r="U77" s="48"/>
      <c r="V77" s="6"/>
      <c r="W77" s="10"/>
      <c r="X77" s="6"/>
      <c r="AB77" s="37">
        <v>16000</v>
      </c>
      <c r="AC77" s="64">
        <v>13</v>
      </c>
      <c r="AD77" s="64">
        <v>11</v>
      </c>
      <c r="AE77" s="64">
        <v>10</v>
      </c>
      <c r="AG77" s="37">
        <v>16000</v>
      </c>
      <c r="AH77" s="64">
        <v>19</v>
      </c>
      <c r="AI77" s="64">
        <v>15</v>
      </c>
      <c r="AJ77" s="64">
        <v>11</v>
      </c>
      <c r="AK77" s="64">
        <v>9</v>
      </c>
      <c r="AL77" s="64">
        <v>8</v>
      </c>
      <c r="AM77" s="64">
        <v>10</v>
      </c>
      <c r="AN77" s="64">
        <v>6</v>
      </c>
      <c r="AO77" s="64">
        <v>6</v>
      </c>
      <c r="AP77" s="64">
        <v>13</v>
      </c>
      <c r="AQ77" s="64">
        <v>7</v>
      </c>
      <c r="AR77" s="64">
        <v>10</v>
      </c>
      <c r="AS77" s="64">
        <v>6</v>
      </c>
      <c r="AT77" s="64">
        <v>6</v>
      </c>
      <c r="AU77" s="64">
        <v>6</v>
      </c>
      <c r="AV77" s="64">
        <v>6</v>
      </c>
      <c r="AW77" s="64">
        <v>6</v>
      </c>
      <c r="AX77" s="64">
        <v>6</v>
      </c>
      <c r="AY77" s="5"/>
      <c r="AZ77" s="37">
        <v>16000</v>
      </c>
      <c r="BA77" s="28">
        <f>IF('8030 Ballast Calculator'!D33=2,HLOOKUP('8030 Ballast Calculator'!E31,AC64:AE105,14,FALSE),HLOOKUP('8030 Ballast Calculator'!E31,AH64:AX105,14,FALSE))</f>
        <v>10</v>
      </c>
      <c r="BC77" s="10"/>
    </row>
    <row r="78" spans="18:55" ht="12.75">
      <c r="R78" s="48"/>
      <c r="S78" s="48"/>
      <c r="V78" s="6"/>
      <c r="W78" s="10"/>
      <c r="X78" s="6"/>
      <c r="AB78" s="37">
        <v>16500</v>
      </c>
      <c r="AC78" s="64">
        <v>14</v>
      </c>
      <c r="AD78" s="64">
        <v>12</v>
      </c>
      <c r="AE78" s="64">
        <v>10</v>
      </c>
      <c r="AG78" s="37">
        <v>16500</v>
      </c>
      <c r="AH78" s="64">
        <v>20</v>
      </c>
      <c r="AI78" s="64">
        <v>16</v>
      </c>
      <c r="AJ78" s="64">
        <v>12</v>
      </c>
      <c r="AK78" s="64">
        <v>9</v>
      </c>
      <c r="AL78" s="64">
        <v>8</v>
      </c>
      <c r="AM78" s="64">
        <v>11</v>
      </c>
      <c r="AN78" s="64">
        <v>7</v>
      </c>
      <c r="AO78" s="64">
        <v>6</v>
      </c>
      <c r="AP78" s="64">
        <v>14</v>
      </c>
      <c r="AQ78" s="64">
        <v>8</v>
      </c>
      <c r="AR78" s="64">
        <v>10</v>
      </c>
      <c r="AS78" s="64">
        <v>7</v>
      </c>
      <c r="AT78" s="64">
        <v>6</v>
      </c>
      <c r="AU78" s="64">
        <v>6</v>
      </c>
      <c r="AV78" s="64">
        <v>7</v>
      </c>
      <c r="AW78" s="64">
        <v>6</v>
      </c>
      <c r="AX78" s="64">
        <v>6</v>
      </c>
      <c r="AY78" s="5"/>
      <c r="AZ78" s="37">
        <v>16500</v>
      </c>
      <c r="BA78" s="28">
        <f>IF('8030 Ballast Calculator'!D33=2,HLOOKUP('8030 Ballast Calculator'!E31,AC64:AE105,15,FALSE),HLOOKUP('8030 Ballast Calculator'!E31,AH64:AX105,15,FALSE))</f>
        <v>10</v>
      </c>
      <c r="BC78" s="10"/>
    </row>
    <row r="79" spans="18:55" ht="12.75">
      <c r="R79" s="48"/>
      <c r="S79" s="48"/>
      <c r="V79" s="4"/>
      <c r="W79" s="10"/>
      <c r="X79" s="4"/>
      <c r="AB79" s="37">
        <v>17000</v>
      </c>
      <c r="AC79" s="64">
        <v>15</v>
      </c>
      <c r="AD79" s="64">
        <v>12</v>
      </c>
      <c r="AE79" s="64">
        <v>11</v>
      </c>
      <c r="AG79" s="37">
        <v>17000</v>
      </c>
      <c r="AH79" s="64">
        <v>21</v>
      </c>
      <c r="AI79" s="64">
        <v>16</v>
      </c>
      <c r="AJ79" s="64">
        <v>12</v>
      </c>
      <c r="AK79" s="64">
        <v>10</v>
      </c>
      <c r="AL79" s="64">
        <v>9</v>
      </c>
      <c r="AM79" s="64">
        <v>11</v>
      </c>
      <c r="AN79" s="64">
        <v>7</v>
      </c>
      <c r="AO79" s="64">
        <v>6</v>
      </c>
      <c r="AP79" s="64">
        <v>15</v>
      </c>
      <c r="AQ79" s="64">
        <v>9</v>
      </c>
      <c r="AR79" s="64">
        <v>10</v>
      </c>
      <c r="AS79" s="64">
        <v>7</v>
      </c>
      <c r="AT79" s="64">
        <v>6</v>
      </c>
      <c r="AU79" s="64">
        <v>6</v>
      </c>
      <c r="AV79" s="64">
        <v>7</v>
      </c>
      <c r="AW79" s="64">
        <v>6</v>
      </c>
      <c r="AX79" s="64">
        <v>6</v>
      </c>
      <c r="AY79" s="5"/>
      <c r="AZ79" s="37">
        <v>17000</v>
      </c>
      <c r="BA79" s="28">
        <f>IF('8030 Ballast Calculator'!D33=2,HLOOKUP('8030 Ballast Calculator'!E31,AC64:AE105,16,FALSE),HLOOKUP('8030 Ballast Calculator'!E31,AH64:AX105,16,FALSE))</f>
        <v>10</v>
      </c>
      <c r="BC79" s="10"/>
    </row>
    <row r="80" spans="18:55" ht="13.5" customHeight="1">
      <c r="R80" s="48"/>
      <c r="S80" s="48"/>
      <c r="V80" s="4"/>
      <c r="W80" s="10"/>
      <c r="X80" s="4"/>
      <c r="AB80" s="37">
        <v>17500</v>
      </c>
      <c r="AC80" s="64">
        <v>16</v>
      </c>
      <c r="AD80" s="64">
        <v>13</v>
      </c>
      <c r="AE80" s="64">
        <v>12</v>
      </c>
      <c r="AG80" s="37">
        <v>17500</v>
      </c>
      <c r="AH80" s="64">
        <v>22</v>
      </c>
      <c r="AI80" s="64">
        <v>17</v>
      </c>
      <c r="AJ80" s="64">
        <v>13</v>
      </c>
      <c r="AK80" s="64">
        <v>10</v>
      </c>
      <c r="AL80" s="64">
        <v>10</v>
      </c>
      <c r="AM80" s="64">
        <v>12</v>
      </c>
      <c r="AN80" s="64">
        <v>8</v>
      </c>
      <c r="AO80" s="64">
        <v>6</v>
      </c>
      <c r="AP80" s="64">
        <v>16</v>
      </c>
      <c r="AQ80" s="64">
        <v>9</v>
      </c>
      <c r="AR80" s="64">
        <v>11</v>
      </c>
      <c r="AS80" s="64">
        <v>7</v>
      </c>
      <c r="AT80" s="64">
        <v>6</v>
      </c>
      <c r="AU80" s="64">
        <v>6</v>
      </c>
      <c r="AV80" s="64">
        <v>7</v>
      </c>
      <c r="AW80" s="64">
        <v>6</v>
      </c>
      <c r="AX80" s="64">
        <v>6</v>
      </c>
      <c r="AY80" s="5"/>
      <c r="AZ80" s="37">
        <v>17500</v>
      </c>
      <c r="BA80" s="28">
        <f>IF('8030 Ballast Calculator'!D33=2,HLOOKUP('8030 Ballast Calculator'!E31,AC64:AE105,17,FALSE),HLOOKUP('8030 Ballast Calculator'!E31,AH64:AX105,17,FALSE))</f>
        <v>11</v>
      </c>
      <c r="BC80" s="10"/>
    </row>
    <row r="81" spans="18:55" ht="12.75">
      <c r="R81" s="48"/>
      <c r="S81" s="48"/>
      <c r="AB81" s="37">
        <v>18000</v>
      </c>
      <c r="AC81" s="64">
        <v>16</v>
      </c>
      <c r="AD81" s="64">
        <v>13</v>
      </c>
      <c r="AE81" s="64">
        <v>12</v>
      </c>
      <c r="AG81" s="37">
        <v>18000</v>
      </c>
      <c r="AH81" s="64">
        <v>23</v>
      </c>
      <c r="AI81" s="64">
        <v>17</v>
      </c>
      <c r="AJ81" s="64">
        <v>13</v>
      </c>
      <c r="AK81" s="64">
        <v>11</v>
      </c>
      <c r="AL81" s="64">
        <v>10</v>
      </c>
      <c r="AM81" s="64">
        <v>13</v>
      </c>
      <c r="AN81" s="64">
        <v>8</v>
      </c>
      <c r="AO81" s="64">
        <v>6</v>
      </c>
      <c r="AP81" s="64">
        <v>16</v>
      </c>
      <c r="AQ81" s="64">
        <v>10</v>
      </c>
      <c r="AR81" s="64">
        <v>12</v>
      </c>
      <c r="AS81" s="64">
        <v>7</v>
      </c>
      <c r="AT81" s="64">
        <v>6</v>
      </c>
      <c r="AU81" s="64">
        <v>6</v>
      </c>
      <c r="AV81" s="64">
        <v>7</v>
      </c>
      <c r="AW81" s="64">
        <v>6</v>
      </c>
      <c r="AX81" s="64">
        <v>6</v>
      </c>
      <c r="AY81" s="5"/>
      <c r="AZ81" s="37">
        <v>18000</v>
      </c>
      <c r="BA81" s="28">
        <f>IF('8030 Ballast Calculator'!D33=2,HLOOKUP('8030 Ballast Calculator'!E31,AC64:AE105,18,FALSE),HLOOKUP('8030 Ballast Calculator'!E31,AH64:AX105,18,FALSE))</f>
        <v>12</v>
      </c>
      <c r="BC81" s="10"/>
    </row>
    <row r="82" spans="18:55" ht="12.75">
      <c r="R82" s="48"/>
      <c r="S82" s="48"/>
      <c r="AB82" s="37">
        <v>18500</v>
      </c>
      <c r="AC82" s="64">
        <v>17</v>
      </c>
      <c r="AD82" s="64">
        <v>14</v>
      </c>
      <c r="AE82" s="64">
        <v>13</v>
      </c>
      <c r="AG82" s="37">
        <v>18500</v>
      </c>
      <c r="AH82" s="64">
        <v>24</v>
      </c>
      <c r="AI82" s="64">
        <v>18</v>
      </c>
      <c r="AJ82" s="64">
        <v>14</v>
      </c>
      <c r="AK82" s="64">
        <v>11</v>
      </c>
      <c r="AL82" s="64">
        <v>10</v>
      </c>
      <c r="AM82" s="64">
        <v>13</v>
      </c>
      <c r="AN82" s="64">
        <v>9</v>
      </c>
      <c r="AO82" s="64">
        <v>6</v>
      </c>
      <c r="AP82" s="64">
        <v>17</v>
      </c>
      <c r="AQ82" s="64">
        <v>10</v>
      </c>
      <c r="AR82" s="64">
        <v>13</v>
      </c>
      <c r="AS82" s="64">
        <v>8</v>
      </c>
      <c r="AT82" s="64">
        <v>6</v>
      </c>
      <c r="AU82" s="64">
        <v>6</v>
      </c>
      <c r="AV82" s="64">
        <v>8</v>
      </c>
      <c r="AW82" s="64">
        <v>6</v>
      </c>
      <c r="AX82" s="64">
        <v>6</v>
      </c>
      <c r="AY82" s="11"/>
      <c r="AZ82" s="37">
        <v>18500</v>
      </c>
      <c r="BA82" s="28">
        <f>IF('8030 Ballast Calculator'!D33=2,HLOOKUP('8030 Ballast Calculator'!E31,AC64:AE105,19,FALSE),HLOOKUP('8030 Ballast Calculator'!E31,AH64:AX105,19,FALSE))</f>
        <v>13</v>
      </c>
      <c r="BC82" s="10"/>
    </row>
    <row r="83" spans="18:55" ht="12.75">
      <c r="R83" s="52"/>
      <c r="S83" s="52"/>
      <c r="AB83" s="37">
        <v>19000</v>
      </c>
      <c r="AC83" s="64">
        <v>17</v>
      </c>
      <c r="AD83" s="64">
        <v>15</v>
      </c>
      <c r="AE83" s="64">
        <v>13</v>
      </c>
      <c r="AG83" s="37">
        <v>19000</v>
      </c>
      <c r="AH83" s="64">
        <v>25</v>
      </c>
      <c r="AI83" s="64">
        <v>18</v>
      </c>
      <c r="AJ83" s="64">
        <v>15</v>
      </c>
      <c r="AK83" s="64">
        <v>12</v>
      </c>
      <c r="AL83" s="64">
        <v>11</v>
      </c>
      <c r="AM83" s="64">
        <v>14</v>
      </c>
      <c r="AN83" s="64">
        <v>10</v>
      </c>
      <c r="AO83" s="64">
        <v>7</v>
      </c>
      <c r="AP83" s="64">
        <v>17</v>
      </c>
      <c r="AQ83" s="64">
        <v>11</v>
      </c>
      <c r="AR83" s="64">
        <v>13</v>
      </c>
      <c r="AS83" s="64">
        <v>8</v>
      </c>
      <c r="AT83" s="64">
        <v>6</v>
      </c>
      <c r="AU83" s="64">
        <v>6</v>
      </c>
      <c r="AV83" s="64">
        <v>8</v>
      </c>
      <c r="AW83" s="64">
        <v>7</v>
      </c>
      <c r="AX83" s="64">
        <v>6</v>
      </c>
      <c r="AY83" s="11"/>
      <c r="AZ83" s="37">
        <v>19000</v>
      </c>
      <c r="BA83" s="28">
        <f>IF('8030 Ballast Calculator'!D33=2,HLOOKUP('8030 Ballast Calculator'!E31,AC64:AE105,20,FALSE),HLOOKUP('8030 Ballast Calculator'!E31,AH64:AX105,20,FALSE))</f>
        <v>13</v>
      </c>
      <c r="BC83" s="10"/>
    </row>
    <row r="84" spans="18:55" ht="12.75">
      <c r="R84" s="52"/>
      <c r="S84" s="52"/>
      <c r="AB84" s="37">
        <v>19500</v>
      </c>
      <c r="AC84" s="64">
        <v>18</v>
      </c>
      <c r="AD84" s="64">
        <v>16</v>
      </c>
      <c r="AE84" s="64">
        <v>14</v>
      </c>
      <c r="AG84" s="37">
        <v>19500</v>
      </c>
      <c r="AH84" s="64">
        <v>27</v>
      </c>
      <c r="AI84" s="64">
        <v>19</v>
      </c>
      <c r="AJ84" s="64">
        <v>15</v>
      </c>
      <c r="AK84" s="64">
        <v>12</v>
      </c>
      <c r="AL84" s="64">
        <v>12</v>
      </c>
      <c r="AM84" s="64">
        <v>15</v>
      </c>
      <c r="AN84" s="64">
        <v>10</v>
      </c>
      <c r="AO84" s="64">
        <v>7</v>
      </c>
      <c r="AP84" s="64">
        <v>18</v>
      </c>
      <c r="AQ84" s="64">
        <v>11</v>
      </c>
      <c r="AR84" s="64">
        <v>13</v>
      </c>
      <c r="AS84" s="64">
        <v>9</v>
      </c>
      <c r="AT84" s="64">
        <v>7</v>
      </c>
      <c r="AU84" s="64">
        <v>6</v>
      </c>
      <c r="AV84" s="64">
        <v>9</v>
      </c>
      <c r="AW84" s="64">
        <v>7</v>
      </c>
      <c r="AX84" s="64">
        <v>7</v>
      </c>
      <c r="AY84" s="11"/>
      <c r="AZ84" s="37">
        <v>19500</v>
      </c>
      <c r="BA84" s="28">
        <f>IF('8030 Ballast Calculator'!D33=2,HLOOKUP('8030 Ballast Calculator'!E31,AC64:AE105,21,FALSE),HLOOKUP('8030 Ballast Calculator'!E31,AH64:AX105,21,FALSE))</f>
        <v>13</v>
      </c>
      <c r="BC84" s="10"/>
    </row>
    <row r="85" spans="18:55" ht="12.75">
      <c r="R85" s="52"/>
      <c r="S85" s="52"/>
      <c r="AB85" s="37">
        <v>20000</v>
      </c>
      <c r="AC85" s="64">
        <v>18</v>
      </c>
      <c r="AD85" s="64">
        <v>17</v>
      </c>
      <c r="AE85" s="64">
        <v>15</v>
      </c>
      <c r="AG85" s="37">
        <v>20000</v>
      </c>
      <c r="AH85" s="64">
        <v>30</v>
      </c>
      <c r="AI85" s="64">
        <v>20</v>
      </c>
      <c r="AJ85" s="64">
        <v>16</v>
      </c>
      <c r="AK85" s="64">
        <v>13</v>
      </c>
      <c r="AL85" s="64">
        <v>13</v>
      </c>
      <c r="AM85" s="64">
        <v>15</v>
      </c>
      <c r="AN85" s="64">
        <v>10</v>
      </c>
      <c r="AO85" s="64">
        <v>7</v>
      </c>
      <c r="AP85" s="64">
        <v>18</v>
      </c>
      <c r="AQ85" s="64">
        <v>11</v>
      </c>
      <c r="AR85" s="64">
        <v>14</v>
      </c>
      <c r="AS85" s="64">
        <v>10</v>
      </c>
      <c r="AT85" s="64">
        <v>7</v>
      </c>
      <c r="AU85" s="64">
        <v>6</v>
      </c>
      <c r="AV85" s="64">
        <v>10</v>
      </c>
      <c r="AW85" s="64">
        <v>7</v>
      </c>
      <c r="AX85" s="64">
        <v>7</v>
      </c>
      <c r="AY85" s="11"/>
      <c r="AZ85" s="37">
        <v>20000</v>
      </c>
      <c r="BA85" s="28">
        <f>IF('8030 Ballast Calculator'!D33=2,HLOOKUP('8030 Ballast Calculator'!E31,AC64:AE105,22,FALSE),HLOOKUP('8030 Ballast Calculator'!E31,AH64:AX105,22,FALSE))</f>
        <v>14</v>
      </c>
      <c r="BC85" s="10"/>
    </row>
    <row r="86" spans="18:55" ht="12.75">
      <c r="R86" s="52"/>
      <c r="S86" s="52"/>
      <c r="V86" s="48"/>
      <c r="AB86" s="37">
        <v>21000</v>
      </c>
      <c r="AC86" s="64">
        <v>20</v>
      </c>
      <c r="AD86" s="64">
        <v>17</v>
      </c>
      <c r="AE86" s="64">
        <v>16</v>
      </c>
      <c r="AG86" s="37">
        <v>21000</v>
      </c>
      <c r="AH86" s="64">
        <v>35</v>
      </c>
      <c r="AI86" s="64">
        <v>21</v>
      </c>
      <c r="AJ86" s="64">
        <v>17</v>
      </c>
      <c r="AK86" s="64">
        <v>14</v>
      </c>
      <c r="AL86" s="64">
        <v>13</v>
      </c>
      <c r="AM86" s="64">
        <v>16</v>
      </c>
      <c r="AN86" s="64">
        <v>11</v>
      </c>
      <c r="AO86" s="64">
        <v>8</v>
      </c>
      <c r="AP86" s="64">
        <v>20</v>
      </c>
      <c r="AQ86" s="64">
        <v>12</v>
      </c>
      <c r="AR86" s="64">
        <v>15</v>
      </c>
      <c r="AS86" s="64">
        <v>10</v>
      </c>
      <c r="AT86" s="64">
        <v>7</v>
      </c>
      <c r="AU86" s="64">
        <v>6</v>
      </c>
      <c r="AV86" s="64">
        <v>10</v>
      </c>
      <c r="AW86" s="64">
        <v>8</v>
      </c>
      <c r="AX86" s="64">
        <v>7</v>
      </c>
      <c r="AY86" s="11"/>
      <c r="AZ86" s="37">
        <v>21000</v>
      </c>
      <c r="BA86" s="28">
        <f>IF('8030 Ballast Calculator'!D33=2,HLOOKUP('8030 Ballast Calculator'!E31,AC64:AE105,23,FALSE),HLOOKUP('8030 Ballast Calculator'!E31,AH64:AX105,23,FALSE))</f>
        <v>15</v>
      </c>
      <c r="BC86" s="10"/>
    </row>
    <row r="87" spans="28:55" ht="12.75">
      <c r="AB87" s="37">
        <v>22000</v>
      </c>
      <c r="AC87" s="64">
        <v>21</v>
      </c>
      <c r="AD87" s="64">
        <v>18</v>
      </c>
      <c r="AE87" s="64">
        <v>17</v>
      </c>
      <c r="AG87" s="37">
        <v>22000</v>
      </c>
      <c r="AH87" s="64">
        <v>37</v>
      </c>
      <c r="AI87" s="64">
        <v>23</v>
      </c>
      <c r="AJ87" s="64">
        <v>19</v>
      </c>
      <c r="AK87" s="64">
        <v>15</v>
      </c>
      <c r="AL87" s="64">
        <v>14</v>
      </c>
      <c r="AM87" s="64">
        <v>17</v>
      </c>
      <c r="AN87" s="64">
        <v>12</v>
      </c>
      <c r="AO87" s="64">
        <v>9</v>
      </c>
      <c r="AP87" s="64">
        <v>22</v>
      </c>
      <c r="AQ87" s="64">
        <v>13</v>
      </c>
      <c r="AR87" s="64">
        <v>16</v>
      </c>
      <c r="AS87" s="64">
        <v>11</v>
      </c>
      <c r="AT87" s="64">
        <v>8</v>
      </c>
      <c r="AU87" s="64">
        <v>6</v>
      </c>
      <c r="AV87" s="64">
        <v>11</v>
      </c>
      <c r="AW87" s="64">
        <v>9</v>
      </c>
      <c r="AX87" s="64">
        <v>8</v>
      </c>
      <c r="AY87" s="11"/>
      <c r="AZ87" s="37">
        <v>22000</v>
      </c>
      <c r="BA87" s="28">
        <f>IF('8030 Ballast Calculator'!D33=2,HLOOKUP('8030 Ballast Calculator'!E31,AC64:AE105,24,FALSE),HLOOKUP('8030 Ballast Calculator'!E31,AH64:AX105,24,FALSE))</f>
        <v>16</v>
      </c>
      <c r="BC87" s="10"/>
    </row>
    <row r="88" spans="28:55" ht="12.75">
      <c r="AB88" s="37">
        <v>23000</v>
      </c>
      <c r="AC88" s="64">
        <v>23</v>
      </c>
      <c r="AD88" s="64">
        <v>20</v>
      </c>
      <c r="AE88" s="64">
        <v>17</v>
      </c>
      <c r="AG88" s="37">
        <v>23000</v>
      </c>
      <c r="AH88" s="64">
        <v>41</v>
      </c>
      <c r="AI88" s="64">
        <v>25</v>
      </c>
      <c r="AJ88" s="64">
        <v>20</v>
      </c>
      <c r="AK88" s="64">
        <v>16</v>
      </c>
      <c r="AL88" s="64">
        <v>15</v>
      </c>
      <c r="AM88" s="64">
        <v>18</v>
      </c>
      <c r="AN88" s="64">
        <v>13</v>
      </c>
      <c r="AO88" s="64">
        <v>10</v>
      </c>
      <c r="AP88" s="64">
        <v>23</v>
      </c>
      <c r="AQ88" s="64">
        <v>15</v>
      </c>
      <c r="AR88" s="64">
        <v>17</v>
      </c>
      <c r="AS88" s="64">
        <v>12</v>
      </c>
      <c r="AT88" s="64">
        <v>9</v>
      </c>
      <c r="AU88" s="64">
        <v>7</v>
      </c>
      <c r="AV88" s="64">
        <v>12</v>
      </c>
      <c r="AW88" s="64">
        <v>10</v>
      </c>
      <c r="AX88" s="64">
        <v>9</v>
      </c>
      <c r="AY88" s="11"/>
      <c r="AZ88" s="37">
        <v>23000</v>
      </c>
      <c r="BA88" s="28">
        <f>IF('8030 Ballast Calculator'!D33=2,HLOOKUP('8030 Ballast Calculator'!E31,AC64:AE105,25,FALSE),HLOOKUP('8030 Ballast Calculator'!E31,AH64:AX105,25,FALSE))</f>
        <v>17</v>
      </c>
      <c r="BC88" s="10"/>
    </row>
    <row r="89" spans="28:55" ht="12.75">
      <c r="AB89" s="37">
        <v>24000</v>
      </c>
      <c r="AC89" s="64" t="s">
        <v>76</v>
      </c>
      <c r="AD89" s="64">
        <v>21</v>
      </c>
      <c r="AE89" s="64">
        <v>18</v>
      </c>
      <c r="AG89" s="37">
        <v>24000</v>
      </c>
      <c r="AH89" s="64">
        <v>43</v>
      </c>
      <c r="AI89" s="64">
        <v>27</v>
      </c>
      <c r="AJ89" s="64">
        <v>22</v>
      </c>
      <c r="AK89" s="64">
        <v>17</v>
      </c>
      <c r="AL89" s="64">
        <v>16</v>
      </c>
      <c r="AM89" s="64">
        <v>19</v>
      </c>
      <c r="AN89" s="64">
        <v>14</v>
      </c>
      <c r="AO89" s="64">
        <v>10</v>
      </c>
      <c r="AP89" s="64">
        <v>25</v>
      </c>
      <c r="AQ89" s="64">
        <v>16</v>
      </c>
      <c r="AR89" s="64">
        <v>18</v>
      </c>
      <c r="AS89" s="64">
        <v>13</v>
      </c>
      <c r="AT89" s="64">
        <v>10</v>
      </c>
      <c r="AU89" s="64">
        <v>7</v>
      </c>
      <c r="AV89" s="64">
        <v>13</v>
      </c>
      <c r="AW89" s="64">
        <v>10</v>
      </c>
      <c r="AX89" s="64">
        <v>10</v>
      </c>
      <c r="AY89" s="11"/>
      <c r="AZ89" s="37">
        <v>24000</v>
      </c>
      <c r="BA89" s="28">
        <f>IF('8030 Ballast Calculator'!D33=2,HLOOKUP('8030 Ballast Calculator'!E31,AC64:AE105,26,FALSE),HLOOKUP('8030 Ballast Calculator'!E31,AH64:AX105,26,FALSE))</f>
        <v>18</v>
      </c>
      <c r="BC89" s="10"/>
    </row>
    <row r="90" spans="28:55" ht="12.75">
      <c r="AB90" s="37">
        <v>25000</v>
      </c>
      <c r="AC90" s="64" t="s">
        <v>76</v>
      </c>
      <c r="AD90" s="64">
        <v>22</v>
      </c>
      <c r="AE90" s="64">
        <v>20</v>
      </c>
      <c r="AG90" s="37">
        <v>25000</v>
      </c>
      <c r="AH90" s="64">
        <v>46</v>
      </c>
      <c r="AI90" s="64">
        <v>31</v>
      </c>
      <c r="AJ90" s="64">
        <v>23</v>
      </c>
      <c r="AK90" s="64">
        <v>18</v>
      </c>
      <c r="AL90" s="64">
        <v>17</v>
      </c>
      <c r="AM90" s="64">
        <v>20</v>
      </c>
      <c r="AN90" s="64">
        <v>15</v>
      </c>
      <c r="AO90" s="64">
        <v>11</v>
      </c>
      <c r="AP90" s="64">
        <v>27</v>
      </c>
      <c r="AQ90" s="64">
        <v>16</v>
      </c>
      <c r="AR90" s="64">
        <v>19</v>
      </c>
      <c r="AS90" s="64">
        <v>13</v>
      </c>
      <c r="AT90" s="64">
        <v>10</v>
      </c>
      <c r="AU90" s="64">
        <v>7</v>
      </c>
      <c r="AV90" s="64">
        <v>13</v>
      </c>
      <c r="AW90" s="64">
        <v>11</v>
      </c>
      <c r="AX90" s="64">
        <v>10</v>
      </c>
      <c r="AY90" s="11"/>
      <c r="AZ90" s="37">
        <v>25000</v>
      </c>
      <c r="BA90" s="28">
        <f>IF('8030 Ballast Calculator'!D33=2,HLOOKUP('8030 Ballast Calculator'!E31,AC64:AE105,27,FALSE),HLOOKUP('8030 Ballast Calculator'!E31,AH64:AX105,27,FALSE))</f>
        <v>19</v>
      </c>
      <c r="BC90" s="10"/>
    </row>
    <row r="91" spans="28:55" ht="12.75">
      <c r="AB91" s="37">
        <v>26000</v>
      </c>
      <c r="AC91" s="64" t="s">
        <v>76</v>
      </c>
      <c r="AD91" s="64">
        <v>23</v>
      </c>
      <c r="AE91" s="64">
        <v>21</v>
      </c>
      <c r="AG91" s="37">
        <v>26000</v>
      </c>
      <c r="AH91" s="64" t="s">
        <v>76</v>
      </c>
      <c r="AI91" s="64">
        <v>32</v>
      </c>
      <c r="AJ91" s="64">
        <v>24</v>
      </c>
      <c r="AK91" s="64">
        <v>20</v>
      </c>
      <c r="AL91" s="64">
        <v>17</v>
      </c>
      <c r="AM91" s="64">
        <v>21</v>
      </c>
      <c r="AN91" s="64">
        <v>16</v>
      </c>
      <c r="AO91" s="64">
        <v>12</v>
      </c>
      <c r="AP91" s="64">
        <v>29</v>
      </c>
      <c r="AQ91" s="64">
        <v>17</v>
      </c>
      <c r="AR91" s="64">
        <v>20</v>
      </c>
      <c r="AS91" s="64">
        <v>15</v>
      </c>
      <c r="AT91" s="64">
        <v>11</v>
      </c>
      <c r="AU91" s="64">
        <v>9</v>
      </c>
      <c r="AV91" s="64">
        <v>15</v>
      </c>
      <c r="AW91" s="64">
        <v>12</v>
      </c>
      <c r="AX91" s="64">
        <v>11</v>
      </c>
      <c r="AY91" s="11"/>
      <c r="AZ91" s="37">
        <v>26000</v>
      </c>
      <c r="BA91" s="28">
        <f>IF('8030 Ballast Calculator'!D33=2,HLOOKUP('8030 Ballast Calculator'!E31,AC64:AE105,28,FALSE),HLOOKUP('8030 Ballast Calculator'!E31,AH64:AX105,28,FALSE))</f>
        <v>20</v>
      </c>
      <c r="BC91" s="10"/>
    </row>
    <row r="92" spans="28:55" ht="12.75">
      <c r="AB92" s="37">
        <v>27000</v>
      </c>
      <c r="AC92" s="64" t="s">
        <v>76</v>
      </c>
      <c r="AD92" s="64" t="s">
        <v>76</v>
      </c>
      <c r="AE92" s="64">
        <v>22</v>
      </c>
      <c r="AG92" s="37">
        <v>27000</v>
      </c>
      <c r="AH92" s="64" t="s">
        <v>76</v>
      </c>
      <c r="AI92" s="64" t="s">
        <v>76</v>
      </c>
      <c r="AJ92" s="64">
        <v>26</v>
      </c>
      <c r="AK92" s="64">
        <v>21</v>
      </c>
      <c r="AL92" s="64">
        <v>18</v>
      </c>
      <c r="AM92" s="64">
        <v>21</v>
      </c>
      <c r="AN92" s="64">
        <v>17</v>
      </c>
      <c r="AO92" s="64">
        <v>13</v>
      </c>
      <c r="AP92" s="64">
        <v>33</v>
      </c>
      <c r="AQ92" s="64">
        <v>18</v>
      </c>
      <c r="AR92" s="64">
        <v>21</v>
      </c>
      <c r="AS92" s="64">
        <v>16</v>
      </c>
      <c r="AT92" s="64">
        <v>12</v>
      </c>
      <c r="AU92" s="64">
        <v>10</v>
      </c>
      <c r="AV92" s="64">
        <v>16</v>
      </c>
      <c r="AW92" s="64">
        <v>13</v>
      </c>
      <c r="AX92" s="64">
        <v>12</v>
      </c>
      <c r="AY92" s="11"/>
      <c r="AZ92" s="37">
        <v>27000</v>
      </c>
      <c r="BA92" s="28">
        <f>IF('8030 Ballast Calculator'!D33=2,HLOOKUP('8030 Ballast Calculator'!E31,AC64:AE105,29,FALSE),HLOOKUP('8030 Ballast Calculator'!E31,AH64:AX105,29,FALSE))</f>
        <v>21</v>
      </c>
      <c r="BC92" s="10"/>
    </row>
    <row r="93" spans="28:55" ht="12.75">
      <c r="AB93" s="37">
        <v>28000</v>
      </c>
      <c r="AC93" s="64" t="s">
        <v>76</v>
      </c>
      <c r="AD93" s="64" t="s">
        <v>76</v>
      </c>
      <c r="AE93" s="64">
        <v>23</v>
      </c>
      <c r="AG93" s="37">
        <v>28000</v>
      </c>
      <c r="AH93" s="64" t="s">
        <v>76</v>
      </c>
      <c r="AI93" s="64" t="s">
        <v>76</v>
      </c>
      <c r="AJ93" s="64">
        <v>28</v>
      </c>
      <c r="AK93" s="64">
        <v>22</v>
      </c>
      <c r="AL93" s="64">
        <v>19</v>
      </c>
      <c r="AM93" s="64">
        <v>24</v>
      </c>
      <c r="AN93" s="64">
        <v>17</v>
      </c>
      <c r="AO93" s="64">
        <v>13</v>
      </c>
      <c r="AP93" s="64" t="s">
        <v>76</v>
      </c>
      <c r="AQ93" s="64">
        <v>19</v>
      </c>
      <c r="AR93" s="64">
        <v>22</v>
      </c>
      <c r="AS93" s="64">
        <v>16</v>
      </c>
      <c r="AT93" s="64">
        <v>13</v>
      </c>
      <c r="AU93" s="64">
        <v>10</v>
      </c>
      <c r="AV93" s="64">
        <v>16</v>
      </c>
      <c r="AW93" s="64">
        <v>13</v>
      </c>
      <c r="AX93" s="64">
        <v>13</v>
      </c>
      <c r="AY93" s="11"/>
      <c r="AZ93" s="37">
        <v>28000</v>
      </c>
      <c r="BA93" s="28">
        <f>IF('8030 Ballast Calculator'!D33=2,HLOOKUP('8030 Ballast Calculator'!E31,AC64:AE105,30,FALSE),HLOOKUP('8030 Ballast Calculator'!E31,AH64:AX105,30,FALSE))</f>
        <v>22</v>
      </c>
      <c r="BC93" s="10"/>
    </row>
    <row r="94" spans="28:55" ht="12.75">
      <c r="AB94" s="37">
        <v>29000</v>
      </c>
      <c r="AC94" s="64" t="s">
        <v>76</v>
      </c>
      <c r="AD94" s="64" t="s">
        <v>76</v>
      </c>
      <c r="AE94" s="64" t="s">
        <v>76</v>
      </c>
      <c r="AG94" s="37">
        <v>29000</v>
      </c>
      <c r="AH94" s="64" t="s">
        <v>76</v>
      </c>
      <c r="AI94" s="64" t="s">
        <v>76</v>
      </c>
      <c r="AJ94" s="64">
        <v>29</v>
      </c>
      <c r="AK94" s="64">
        <v>23</v>
      </c>
      <c r="AL94" s="64">
        <v>20</v>
      </c>
      <c r="AM94" s="64">
        <v>26</v>
      </c>
      <c r="AN94" s="64">
        <v>18</v>
      </c>
      <c r="AO94" s="64">
        <v>14</v>
      </c>
      <c r="AP94" s="64" t="s">
        <v>76</v>
      </c>
      <c r="AQ94" s="64">
        <v>20</v>
      </c>
      <c r="AR94" s="64">
        <v>23</v>
      </c>
      <c r="AS94" s="64">
        <v>17</v>
      </c>
      <c r="AT94" s="64">
        <v>13</v>
      </c>
      <c r="AU94" s="64">
        <v>10</v>
      </c>
      <c r="AV94" s="64">
        <v>17</v>
      </c>
      <c r="AW94" s="64">
        <v>14</v>
      </c>
      <c r="AX94" s="64">
        <v>13</v>
      </c>
      <c r="AY94" s="11"/>
      <c r="AZ94" s="37">
        <v>29000</v>
      </c>
      <c r="BA94" s="28">
        <f>IF('8030 Ballast Calculator'!D33=2,HLOOKUP('8030 Ballast Calculator'!E31,AC64:AE105,31,FALSE),HLOOKUP('8030 Ballast Calculator'!E31,AH64:AX105,31,FALSE))</f>
        <v>23</v>
      </c>
      <c r="BC94" s="10"/>
    </row>
    <row r="95" spans="28:55" ht="12.75">
      <c r="AB95" s="37">
        <v>30000</v>
      </c>
      <c r="AC95" s="64" t="s">
        <v>76</v>
      </c>
      <c r="AD95" s="64" t="s">
        <v>76</v>
      </c>
      <c r="AE95" s="64" t="s">
        <v>76</v>
      </c>
      <c r="AG95" s="37">
        <v>30000</v>
      </c>
      <c r="AH95" s="64" t="s">
        <v>76</v>
      </c>
      <c r="AI95" s="64" t="s">
        <v>76</v>
      </c>
      <c r="AJ95" s="64">
        <v>30</v>
      </c>
      <c r="AK95" s="64">
        <v>24</v>
      </c>
      <c r="AL95" s="64">
        <v>21</v>
      </c>
      <c r="AM95" s="64">
        <v>29</v>
      </c>
      <c r="AN95" s="64">
        <v>19</v>
      </c>
      <c r="AO95" s="64">
        <v>15</v>
      </c>
      <c r="AP95" s="64" t="s">
        <v>76</v>
      </c>
      <c r="AQ95" s="64">
        <v>20</v>
      </c>
      <c r="AR95" s="64">
        <v>26</v>
      </c>
      <c r="AS95" s="64">
        <v>17</v>
      </c>
      <c r="AT95" s="64">
        <v>14</v>
      </c>
      <c r="AU95" s="64">
        <v>11</v>
      </c>
      <c r="AV95" s="64">
        <v>17</v>
      </c>
      <c r="AW95" s="64">
        <v>15</v>
      </c>
      <c r="AX95" s="64">
        <v>14</v>
      </c>
      <c r="AY95" s="11"/>
      <c r="AZ95" s="37">
        <v>30000</v>
      </c>
      <c r="BA95" s="28">
        <f>IF('8030 Ballast Calculator'!D33=2,HLOOKUP('8030 Ballast Calculator'!E31,AC64:AE105,32,FALSE),HLOOKUP('8030 Ballast Calculator'!E31,AH64:AX105,32,FALSE))</f>
        <v>26</v>
      </c>
      <c r="BC95" s="10"/>
    </row>
    <row r="96" spans="28:55" ht="12.75">
      <c r="AB96" s="37">
        <v>31000</v>
      </c>
      <c r="AC96" s="64" t="s">
        <v>76</v>
      </c>
      <c r="AD96" s="64" t="s">
        <v>76</v>
      </c>
      <c r="AE96" s="64" t="s">
        <v>76</v>
      </c>
      <c r="AG96" s="37">
        <v>31000</v>
      </c>
      <c r="AH96" s="64" t="s">
        <v>76</v>
      </c>
      <c r="AI96" s="64" t="s">
        <v>76</v>
      </c>
      <c r="AJ96" s="64" t="s">
        <v>76</v>
      </c>
      <c r="AK96" s="64" t="s">
        <v>76</v>
      </c>
      <c r="AL96" s="64">
        <v>22</v>
      </c>
      <c r="AM96" s="64">
        <v>31</v>
      </c>
      <c r="AN96" s="64">
        <v>20</v>
      </c>
      <c r="AO96" s="64">
        <v>16</v>
      </c>
      <c r="AP96" s="64" t="s">
        <v>76</v>
      </c>
      <c r="AQ96" s="64">
        <v>21</v>
      </c>
      <c r="AR96" s="64">
        <v>28</v>
      </c>
      <c r="AS96" s="64">
        <v>18</v>
      </c>
      <c r="AT96" s="64">
        <v>15</v>
      </c>
      <c r="AU96" s="64">
        <v>12</v>
      </c>
      <c r="AV96" s="64">
        <v>18</v>
      </c>
      <c r="AW96" s="64">
        <v>16</v>
      </c>
      <c r="AX96" s="64">
        <v>15</v>
      </c>
      <c r="AY96" s="11"/>
      <c r="AZ96" s="37">
        <v>31000</v>
      </c>
      <c r="BA96" s="28">
        <f>IF('8030 Ballast Calculator'!D33=2,HLOOKUP('8030 Ballast Calculator'!E31,AC64:AE105,33,FALSE),HLOOKUP('8030 Ballast Calculator'!E31,AH64:AX105,33,FALSE))</f>
        <v>28</v>
      </c>
      <c r="BC96" s="10"/>
    </row>
    <row r="97" spans="28:55" ht="12.75">
      <c r="AB97" s="37">
        <v>32000</v>
      </c>
      <c r="AC97" s="64" t="s">
        <v>76</v>
      </c>
      <c r="AD97" s="64" t="s">
        <v>76</v>
      </c>
      <c r="AE97" s="64" t="s">
        <v>76</v>
      </c>
      <c r="AG97" s="37">
        <v>32000</v>
      </c>
      <c r="AH97" s="64" t="s">
        <v>76</v>
      </c>
      <c r="AI97" s="64" t="s">
        <v>76</v>
      </c>
      <c r="AJ97" s="64" t="s">
        <v>76</v>
      </c>
      <c r="AK97" s="64" t="s">
        <v>76</v>
      </c>
      <c r="AL97" s="64">
        <v>23</v>
      </c>
      <c r="AM97" s="64">
        <v>32</v>
      </c>
      <c r="AN97" s="64">
        <v>20</v>
      </c>
      <c r="AO97" s="64">
        <v>16</v>
      </c>
      <c r="AP97" s="64" t="s">
        <v>76</v>
      </c>
      <c r="AQ97" s="64">
        <v>23</v>
      </c>
      <c r="AR97" s="64">
        <v>29</v>
      </c>
      <c r="AS97" s="64">
        <v>20</v>
      </c>
      <c r="AT97" s="64">
        <v>16</v>
      </c>
      <c r="AU97" s="64">
        <v>12</v>
      </c>
      <c r="AV97" s="64">
        <v>20</v>
      </c>
      <c r="AW97" s="64">
        <v>16</v>
      </c>
      <c r="AX97" s="64">
        <v>16</v>
      </c>
      <c r="AY97" s="11"/>
      <c r="AZ97" s="37">
        <v>32000</v>
      </c>
      <c r="BA97" s="28">
        <f>IF('8030 Ballast Calculator'!D33=2,HLOOKUP('8030 Ballast Calculator'!E31,AC64:AE105,34,FALSE),HLOOKUP('8030 Ballast Calculator'!E31,AH64:AX105,34,FALSE))</f>
        <v>29</v>
      </c>
      <c r="BC97" s="10"/>
    </row>
    <row r="98" spans="28:55" ht="12.75">
      <c r="AB98" s="37">
        <v>33000</v>
      </c>
      <c r="AC98" s="64" t="s">
        <v>76</v>
      </c>
      <c r="AD98" s="64" t="s">
        <v>76</v>
      </c>
      <c r="AE98" s="64" t="s">
        <v>76</v>
      </c>
      <c r="AG98" s="37">
        <v>33000</v>
      </c>
      <c r="AH98" s="64" t="s">
        <v>76</v>
      </c>
      <c r="AI98" s="64" t="s">
        <v>76</v>
      </c>
      <c r="AJ98" s="64" t="s">
        <v>76</v>
      </c>
      <c r="AK98" s="64" t="s">
        <v>76</v>
      </c>
      <c r="AL98" s="64" t="s">
        <v>76</v>
      </c>
      <c r="AM98" s="64">
        <v>35</v>
      </c>
      <c r="AN98" s="64">
        <v>22</v>
      </c>
      <c r="AO98" s="64">
        <v>17</v>
      </c>
      <c r="AP98" s="64" t="s">
        <v>76</v>
      </c>
      <c r="AQ98" s="64" t="s">
        <v>76</v>
      </c>
      <c r="AR98" s="64">
        <v>33</v>
      </c>
      <c r="AS98" s="64">
        <v>21</v>
      </c>
      <c r="AT98" s="64">
        <v>17</v>
      </c>
      <c r="AU98" s="64">
        <v>13</v>
      </c>
      <c r="AV98" s="64">
        <v>21</v>
      </c>
      <c r="AW98" s="64">
        <v>17</v>
      </c>
      <c r="AX98" s="64">
        <v>17</v>
      </c>
      <c r="AY98" s="10"/>
      <c r="AZ98" s="37">
        <v>33000</v>
      </c>
      <c r="BA98" s="28">
        <f>IF('8030 Ballast Calculator'!D33=2,HLOOKUP('8030 Ballast Calculator'!E31,AC64:AE105,35,FALSE),HLOOKUP('8030 Ballast Calculator'!E31,AH64:AX105,35,FALSE))</f>
        <v>33</v>
      </c>
      <c r="BC98" s="10"/>
    </row>
    <row r="99" spans="28:55" ht="12.75">
      <c r="AB99" s="37">
        <v>34000</v>
      </c>
      <c r="AC99" s="64" t="s">
        <v>76</v>
      </c>
      <c r="AD99" s="64" t="s">
        <v>76</v>
      </c>
      <c r="AE99" s="64" t="s">
        <v>76</v>
      </c>
      <c r="AG99" s="37">
        <v>34000</v>
      </c>
      <c r="AH99" s="64" t="s">
        <v>76</v>
      </c>
      <c r="AI99" s="64" t="s">
        <v>76</v>
      </c>
      <c r="AJ99" s="64" t="s">
        <v>76</v>
      </c>
      <c r="AK99" s="64" t="s">
        <v>76</v>
      </c>
      <c r="AL99" s="64" t="s">
        <v>76</v>
      </c>
      <c r="AM99" s="64" t="s">
        <v>76</v>
      </c>
      <c r="AN99" s="64">
        <v>23</v>
      </c>
      <c r="AO99" s="64">
        <v>17</v>
      </c>
      <c r="AP99" s="64" t="s">
        <v>76</v>
      </c>
      <c r="AQ99" s="64" t="s">
        <v>76</v>
      </c>
      <c r="AR99" s="64">
        <v>35</v>
      </c>
      <c r="AS99" s="64">
        <v>21</v>
      </c>
      <c r="AT99" s="64">
        <v>17</v>
      </c>
      <c r="AU99" s="64">
        <v>14</v>
      </c>
      <c r="AV99" s="64">
        <v>21</v>
      </c>
      <c r="AW99" s="64">
        <v>17</v>
      </c>
      <c r="AX99" s="64">
        <v>17</v>
      </c>
      <c r="AY99" s="10"/>
      <c r="AZ99" s="37">
        <v>34000</v>
      </c>
      <c r="BA99" s="28">
        <f>IF('8030 Ballast Calculator'!D33=2,HLOOKUP('8030 Ballast Calculator'!E31,AC64:AE105,36,FALSE),HLOOKUP('8030 Ballast Calculator'!E31,AH64:AX105,36,FALSE))</f>
        <v>35</v>
      </c>
      <c r="BC99" s="10"/>
    </row>
    <row r="100" spans="28:55" ht="12.75">
      <c r="AB100" s="37">
        <v>35000</v>
      </c>
      <c r="AC100" s="64" t="s">
        <v>76</v>
      </c>
      <c r="AD100" s="64" t="s">
        <v>76</v>
      </c>
      <c r="AE100" s="64" t="s">
        <v>76</v>
      </c>
      <c r="AG100" s="37">
        <v>35000</v>
      </c>
      <c r="AH100" s="64" t="s">
        <v>76</v>
      </c>
      <c r="AI100" s="64" t="s">
        <v>76</v>
      </c>
      <c r="AJ100" s="64" t="s">
        <v>76</v>
      </c>
      <c r="AK100" s="64" t="s">
        <v>76</v>
      </c>
      <c r="AL100" s="64" t="s">
        <v>76</v>
      </c>
      <c r="AM100" s="64" t="s">
        <v>76</v>
      </c>
      <c r="AN100" s="64" t="s">
        <v>76</v>
      </c>
      <c r="AO100" s="64">
        <v>18</v>
      </c>
      <c r="AP100" s="64" t="s">
        <v>76</v>
      </c>
      <c r="AQ100" s="64" t="s">
        <v>76</v>
      </c>
      <c r="AR100" s="64" t="s">
        <v>76</v>
      </c>
      <c r="AS100" s="64">
        <v>22</v>
      </c>
      <c r="AT100" s="64">
        <v>18</v>
      </c>
      <c r="AU100" s="64">
        <v>15</v>
      </c>
      <c r="AV100" s="64">
        <v>22</v>
      </c>
      <c r="AW100" s="64">
        <v>18</v>
      </c>
      <c r="AX100" s="64">
        <v>18</v>
      </c>
      <c r="AY100" s="10"/>
      <c r="AZ100" s="37">
        <v>35000</v>
      </c>
      <c r="BA100" s="28" t="str">
        <f>IF('8030 Ballast Calculator'!D33=2,HLOOKUP('8030 Ballast Calculator'!E31,AC64:AE105,37,FALSE),HLOOKUP('8030 Ballast Calculator'!E31,AH64:AX105,37,FALSE))</f>
        <v>-</v>
      </c>
      <c r="BC100" s="10"/>
    </row>
    <row r="101" spans="28:55" ht="12.75">
      <c r="AB101" s="37">
        <v>36000</v>
      </c>
      <c r="AC101" s="64" t="s">
        <v>76</v>
      </c>
      <c r="AD101" s="64" t="s">
        <v>76</v>
      </c>
      <c r="AE101" s="64" t="s">
        <v>76</v>
      </c>
      <c r="AG101" s="37">
        <v>36000</v>
      </c>
      <c r="AH101" s="64" t="s">
        <v>76</v>
      </c>
      <c r="AI101" s="64" t="s">
        <v>76</v>
      </c>
      <c r="AJ101" s="64" t="s">
        <v>76</v>
      </c>
      <c r="AK101" s="64" t="s">
        <v>76</v>
      </c>
      <c r="AL101" s="64" t="s">
        <v>76</v>
      </c>
      <c r="AM101" s="64" t="s">
        <v>76</v>
      </c>
      <c r="AN101" s="64" t="s">
        <v>76</v>
      </c>
      <c r="AO101" s="64">
        <v>19</v>
      </c>
      <c r="AP101" s="64" t="s">
        <v>76</v>
      </c>
      <c r="AQ101" s="64" t="s">
        <v>76</v>
      </c>
      <c r="AR101" s="64" t="s">
        <v>76</v>
      </c>
      <c r="AS101" s="64">
        <v>23</v>
      </c>
      <c r="AT101" s="64">
        <v>18</v>
      </c>
      <c r="AU101" s="64">
        <v>16</v>
      </c>
      <c r="AV101" s="64">
        <v>23</v>
      </c>
      <c r="AW101" s="64">
        <v>19</v>
      </c>
      <c r="AX101" s="64">
        <v>18</v>
      </c>
      <c r="AY101" s="10"/>
      <c r="AZ101" s="37">
        <v>36000</v>
      </c>
      <c r="BA101" s="28" t="str">
        <f>IF('8030 Ballast Calculator'!D33=2,HLOOKUP('8030 Ballast Calculator'!E31,AC64:AE105,38,FALSE),HLOOKUP('8030 Ballast Calculator'!E31,AH64:AX105,38,FALSE))</f>
        <v>-</v>
      </c>
      <c r="BC101" s="10"/>
    </row>
    <row r="102" spans="28:55" ht="12.75">
      <c r="AB102" s="37">
        <v>37000</v>
      </c>
      <c r="AC102" s="64" t="s">
        <v>76</v>
      </c>
      <c r="AD102" s="64" t="s">
        <v>76</v>
      </c>
      <c r="AE102" s="64" t="s">
        <v>76</v>
      </c>
      <c r="AG102" s="37">
        <v>37000</v>
      </c>
      <c r="AH102" s="64" t="s">
        <v>76</v>
      </c>
      <c r="AI102" s="64" t="s">
        <v>76</v>
      </c>
      <c r="AJ102" s="64" t="s">
        <v>76</v>
      </c>
      <c r="AK102" s="64" t="s">
        <v>76</v>
      </c>
      <c r="AL102" s="64" t="s">
        <v>76</v>
      </c>
      <c r="AM102" s="64" t="s">
        <v>76</v>
      </c>
      <c r="AN102" s="64" t="s">
        <v>76</v>
      </c>
      <c r="AO102" s="64">
        <v>20</v>
      </c>
      <c r="AP102" s="64" t="s">
        <v>76</v>
      </c>
      <c r="AQ102" s="64" t="s">
        <v>76</v>
      </c>
      <c r="AR102" s="64" t="s">
        <v>76</v>
      </c>
      <c r="AS102" s="64" t="s">
        <v>76</v>
      </c>
      <c r="AT102" s="64">
        <v>19</v>
      </c>
      <c r="AU102" s="64">
        <v>16</v>
      </c>
      <c r="AV102" s="64" t="s">
        <v>76</v>
      </c>
      <c r="AW102" s="64">
        <v>20</v>
      </c>
      <c r="AX102" s="64">
        <v>19</v>
      </c>
      <c r="AY102" s="10"/>
      <c r="AZ102" s="37">
        <v>37000</v>
      </c>
      <c r="BA102" s="28" t="str">
        <f>IF('8030 Ballast Calculator'!D33=2,HLOOKUP('8030 Ballast Calculator'!E31,AC64:AE105,39,FALSE),HLOOKUP('8030 Ballast Calculator'!E31,AH64:AX105,39,FALSE))</f>
        <v>-</v>
      </c>
      <c r="BC102" s="10"/>
    </row>
    <row r="103" spans="28:55" ht="12.75">
      <c r="AB103" s="37">
        <v>38000</v>
      </c>
      <c r="AC103" s="64" t="s">
        <v>76</v>
      </c>
      <c r="AD103" s="64" t="s">
        <v>76</v>
      </c>
      <c r="AE103" s="64" t="s">
        <v>76</v>
      </c>
      <c r="AG103" s="37">
        <v>38000</v>
      </c>
      <c r="AH103" s="64" t="s">
        <v>76</v>
      </c>
      <c r="AI103" s="64" t="s">
        <v>76</v>
      </c>
      <c r="AJ103" s="64" t="s">
        <v>76</v>
      </c>
      <c r="AK103" s="64" t="s">
        <v>76</v>
      </c>
      <c r="AL103" s="64" t="s">
        <v>76</v>
      </c>
      <c r="AM103" s="64" t="s">
        <v>76</v>
      </c>
      <c r="AN103" s="64" t="s">
        <v>76</v>
      </c>
      <c r="AO103" s="64">
        <v>21</v>
      </c>
      <c r="AP103" s="64" t="s">
        <v>76</v>
      </c>
      <c r="AQ103" s="64" t="s">
        <v>76</v>
      </c>
      <c r="AR103" s="64" t="s">
        <v>76</v>
      </c>
      <c r="AS103" s="64" t="s">
        <v>76</v>
      </c>
      <c r="AT103" s="64">
        <v>20</v>
      </c>
      <c r="AU103" s="64">
        <v>16</v>
      </c>
      <c r="AV103" s="64" t="s">
        <v>76</v>
      </c>
      <c r="AW103" s="64">
        <v>21</v>
      </c>
      <c r="AX103" s="64">
        <v>20</v>
      </c>
      <c r="AY103" s="10"/>
      <c r="AZ103" s="37">
        <v>38000</v>
      </c>
      <c r="BA103" s="28" t="str">
        <f>IF('8030 Ballast Calculator'!D33=2,HLOOKUP('8030 Ballast Calculator'!E31,AC64:AE105,40,FALSE),HLOOKUP('8030 Ballast Calculator'!E31,AH64:AX105,40,FALSE))</f>
        <v>-</v>
      </c>
      <c r="BC103" s="10"/>
    </row>
    <row r="104" spans="28:55" ht="12.75">
      <c r="AB104" s="37">
        <v>39000</v>
      </c>
      <c r="AC104" s="64" t="s">
        <v>76</v>
      </c>
      <c r="AD104" s="64" t="s">
        <v>76</v>
      </c>
      <c r="AE104" s="64" t="s">
        <v>76</v>
      </c>
      <c r="AG104" s="37">
        <v>39000</v>
      </c>
      <c r="AH104" s="64" t="s">
        <v>76</v>
      </c>
      <c r="AI104" s="64" t="s">
        <v>76</v>
      </c>
      <c r="AJ104" s="64" t="s">
        <v>76</v>
      </c>
      <c r="AK104" s="64" t="s">
        <v>76</v>
      </c>
      <c r="AL104" s="64" t="s">
        <v>76</v>
      </c>
      <c r="AM104" s="64" t="s">
        <v>76</v>
      </c>
      <c r="AN104" s="64" t="s">
        <v>76</v>
      </c>
      <c r="AO104" s="64">
        <v>22</v>
      </c>
      <c r="AP104" s="64" t="s">
        <v>76</v>
      </c>
      <c r="AQ104" s="64" t="s">
        <v>76</v>
      </c>
      <c r="AR104" s="64" t="s">
        <v>76</v>
      </c>
      <c r="AS104" s="64" t="s">
        <v>76</v>
      </c>
      <c r="AT104" s="64">
        <v>21</v>
      </c>
      <c r="AU104" s="64">
        <v>17</v>
      </c>
      <c r="AV104" s="64" t="s">
        <v>76</v>
      </c>
      <c r="AW104" s="64">
        <v>22</v>
      </c>
      <c r="AX104" s="64">
        <v>21</v>
      </c>
      <c r="AY104" s="10"/>
      <c r="AZ104" s="37">
        <v>39000</v>
      </c>
      <c r="BA104" s="28" t="str">
        <f>IF('8030 Ballast Calculator'!D33=2,HLOOKUP('8030 Ballast Calculator'!E31,AC64:AE105,41,FALSE),HLOOKUP('8030 Ballast Calculator'!E31,AH64:AX105,41,FALSE))</f>
        <v>-</v>
      </c>
      <c r="BC104" s="10"/>
    </row>
    <row r="105" spans="28:55" ht="12.75">
      <c r="AB105" s="37">
        <v>40000</v>
      </c>
      <c r="AC105" s="64" t="s">
        <v>76</v>
      </c>
      <c r="AD105" s="64" t="s">
        <v>76</v>
      </c>
      <c r="AE105" s="64" t="s">
        <v>76</v>
      </c>
      <c r="AG105" s="37">
        <v>40000</v>
      </c>
      <c r="AH105" s="64" t="s">
        <v>76</v>
      </c>
      <c r="AI105" s="64" t="s">
        <v>76</v>
      </c>
      <c r="AJ105" s="64" t="s">
        <v>76</v>
      </c>
      <c r="AK105" s="64" t="s">
        <v>76</v>
      </c>
      <c r="AL105" s="64" t="s">
        <v>76</v>
      </c>
      <c r="AM105" s="64" t="s">
        <v>76</v>
      </c>
      <c r="AN105" s="64" t="s">
        <v>76</v>
      </c>
      <c r="AO105" s="64">
        <v>22</v>
      </c>
      <c r="AP105" s="64" t="s">
        <v>76</v>
      </c>
      <c r="AQ105" s="64" t="s">
        <v>76</v>
      </c>
      <c r="AR105" s="64" t="s">
        <v>76</v>
      </c>
      <c r="AS105" s="64" t="s">
        <v>76</v>
      </c>
      <c r="AT105" s="64">
        <v>21</v>
      </c>
      <c r="AU105" s="64">
        <v>17</v>
      </c>
      <c r="AV105" s="64" t="s">
        <v>76</v>
      </c>
      <c r="AW105" s="64">
        <v>22</v>
      </c>
      <c r="AX105" s="64">
        <v>21</v>
      </c>
      <c r="AY105" s="10"/>
      <c r="AZ105" s="37">
        <v>40000</v>
      </c>
      <c r="BA105" s="28" t="str">
        <f>IF('8030 Ballast Calculator'!D33=2,HLOOKUP('8030 Ballast Calculator'!E31,AC64:AE105,42,FALSE),HLOOKUP('8030 Ballast Calculator'!E31,AH64:AX105,42,FALSE))</f>
        <v>-</v>
      </c>
      <c r="BC105" s="10"/>
    </row>
    <row r="106" ht="12.75">
      <c r="AB106" s="5"/>
    </row>
    <row r="107" spans="54:58" ht="15.75">
      <c r="BB107" s="268" t="s">
        <v>24</v>
      </c>
      <c r="BC107" s="269"/>
      <c r="BD107" s="269"/>
      <c r="BE107" s="270"/>
      <c r="BF107" s="47"/>
    </row>
    <row r="108" spans="54:57" ht="12.75">
      <c r="BB108" s="32">
        <v>1</v>
      </c>
      <c r="BC108" s="32">
        <v>42</v>
      </c>
      <c r="BD108" s="38">
        <f>IF('8030 Ballast Calculator'!D28&gt;1,"","11.00-24")</f>
      </c>
      <c r="BE108" s="38" t="s">
        <v>18</v>
      </c>
    </row>
    <row r="109" spans="54:57" ht="12.75">
      <c r="BB109" s="32">
        <v>2</v>
      </c>
      <c r="BC109" s="32">
        <v>42</v>
      </c>
      <c r="BD109" s="38">
        <f>IF('8030 Ballast Calculator'!D28&gt;1,"","16.5L-16.1")</f>
      </c>
      <c r="BE109" s="38" t="s">
        <v>18</v>
      </c>
    </row>
    <row r="110" spans="54:57" ht="12.75" customHeight="1">
      <c r="BB110" s="32">
        <v>3</v>
      </c>
      <c r="BC110" s="32">
        <v>42</v>
      </c>
      <c r="BD110" s="38" t="str">
        <f>IF('8030 Ballast Calculator'!D28=1,"","290/90R38")</f>
        <v>290/90R38</v>
      </c>
      <c r="BE110" s="38" t="s">
        <v>7</v>
      </c>
    </row>
    <row r="111" spans="52:57" ht="12.75">
      <c r="AZ111" s="212"/>
      <c r="BB111" s="32">
        <v>4</v>
      </c>
      <c r="BC111" s="58">
        <v>42</v>
      </c>
      <c r="BD111" s="32" t="str">
        <f>IF('8030 Ballast Calculator'!D28=1,"","320/85R38")</f>
        <v>320/85R38</v>
      </c>
      <c r="BE111" s="28" t="s">
        <v>7</v>
      </c>
    </row>
    <row r="112" spans="52:57" ht="12.75">
      <c r="AZ112" s="212"/>
      <c r="BB112" s="32">
        <v>5</v>
      </c>
      <c r="BC112" s="32">
        <v>43</v>
      </c>
      <c r="BD112" s="32" t="str">
        <f>IF('8030 Ballast Calculator'!D28=1,"","320/80R42")</f>
        <v>320/80R42</v>
      </c>
      <c r="BE112" s="38" t="s">
        <v>7</v>
      </c>
    </row>
    <row r="113" spans="52:57" ht="12.75">
      <c r="AZ113" s="212"/>
      <c r="BB113" s="32">
        <v>6</v>
      </c>
      <c r="BC113" s="32">
        <v>43</v>
      </c>
      <c r="BD113" s="32" t="str">
        <f>IF('8030 Ballast Calculator'!D28=1,"","380/80R38")</f>
        <v>380/80R38</v>
      </c>
      <c r="BE113" s="38" t="s">
        <v>7</v>
      </c>
    </row>
    <row r="114" spans="52:57" ht="12.75">
      <c r="AZ114" s="212"/>
      <c r="BB114" s="32">
        <v>7</v>
      </c>
      <c r="BC114" s="32">
        <v>42</v>
      </c>
      <c r="BD114" s="32" t="str">
        <f>IF('8030 Ballast Calculator'!D28=1,"","380/85R34")</f>
        <v>380/85R34</v>
      </c>
      <c r="BE114" s="38" t="s">
        <v>8</v>
      </c>
    </row>
    <row r="115" spans="52:57" ht="12.75">
      <c r="AZ115" s="212"/>
      <c r="BB115" s="32">
        <v>8</v>
      </c>
      <c r="BC115" s="58">
        <v>43</v>
      </c>
      <c r="BD115" s="32" t="str">
        <f>IF('8030 Ballast Calculator'!D28=1,"","380/80R38")</f>
        <v>380/80R38</v>
      </c>
      <c r="BE115" s="28" t="s">
        <v>7</v>
      </c>
    </row>
    <row r="116" spans="52:91" ht="12.75">
      <c r="AZ116" s="212"/>
      <c r="BB116" s="32">
        <v>9</v>
      </c>
      <c r="BC116" s="32">
        <v>42</v>
      </c>
      <c r="BD116" s="32" t="str">
        <f>IF('8030 Ballast Calculator'!D28=1,"","16.9R30")</f>
        <v>16.9R30</v>
      </c>
      <c r="BE116" s="38" t="s">
        <v>7</v>
      </c>
      <c r="BF116" s="29"/>
      <c r="CA116"/>
      <c r="CB116" s="29"/>
      <c r="CM116"/>
    </row>
    <row r="117" spans="52:91" ht="12.75" customHeight="1">
      <c r="AZ117" s="212"/>
      <c r="BB117" s="32">
        <v>10</v>
      </c>
      <c r="BC117" s="32">
        <v>42</v>
      </c>
      <c r="BD117" s="32" t="str">
        <f>IF('8030 Ballast Calculator'!D28=1,"","420/90R30")</f>
        <v>420/90R30</v>
      </c>
      <c r="BE117" s="38" t="s">
        <v>8</v>
      </c>
      <c r="BF117" s="29"/>
      <c r="CA117"/>
      <c r="CB117" s="29"/>
      <c r="CM117"/>
    </row>
    <row r="118" spans="52:57" ht="12.75">
      <c r="AZ118" s="212"/>
      <c r="BB118" s="32">
        <v>11</v>
      </c>
      <c r="BC118" s="32">
        <v>43</v>
      </c>
      <c r="BD118" s="32" t="str">
        <f>IF('8030 Ballast Calculator'!D28=1,"","420/85R34")</f>
        <v>420/85R34</v>
      </c>
      <c r="BE118" s="38" t="s">
        <v>7</v>
      </c>
    </row>
    <row r="119" spans="52:91" ht="12.75">
      <c r="AZ119" s="212"/>
      <c r="BB119" s="32">
        <v>12</v>
      </c>
      <c r="BC119" s="32">
        <v>42</v>
      </c>
      <c r="BD119" s="32" t="str">
        <f>IF('8030 Ballast Calculator'!D28=1,"","480/70R30")</f>
        <v>480/70R30</v>
      </c>
      <c r="BE119" s="38" t="s">
        <v>7</v>
      </c>
      <c r="BF119" s="29"/>
      <c r="CA119"/>
      <c r="CB119" s="29"/>
      <c r="CM119"/>
    </row>
    <row r="120" spans="52:57" ht="12.75">
      <c r="AZ120" s="212"/>
      <c r="BB120" s="32">
        <v>13</v>
      </c>
      <c r="BC120" s="58">
        <v>43</v>
      </c>
      <c r="BD120" s="32" t="str">
        <f>IF('8030 Ballast Calculator'!D28=1,"","480/70R34")</f>
        <v>480/70R34</v>
      </c>
      <c r="BE120" s="28" t="s">
        <v>7</v>
      </c>
    </row>
    <row r="121" spans="52:57" ht="12.75">
      <c r="AZ121" s="212"/>
      <c r="BB121" s="32">
        <v>14</v>
      </c>
      <c r="BC121" s="32">
        <v>43</v>
      </c>
      <c r="BD121" s="32" t="str">
        <f>IF('8030 Ballast Calculator'!D28=1,"","540/65R34")</f>
        <v>540/65R34</v>
      </c>
      <c r="BE121" s="28" t="s">
        <v>7</v>
      </c>
    </row>
    <row r="122" spans="52:57" ht="12" customHeight="1">
      <c r="AZ122" s="212"/>
      <c r="BB122" s="32">
        <v>15</v>
      </c>
      <c r="BC122" s="58">
        <v>44</v>
      </c>
      <c r="BD122" s="32" t="str">
        <f>IF('8030 Ballast Calculator'!D28=1,"","540/75R34")</f>
        <v>540/75R34</v>
      </c>
      <c r="BE122" s="28" t="s">
        <v>7</v>
      </c>
    </row>
    <row r="123" spans="52:57" ht="12.75">
      <c r="AZ123" s="212"/>
      <c r="BB123" s="32">
        <v>16</v>
      </c>
      <c r="BC123" s="32">
        <v>42</v>
      </c>
      <c r="BD123" s="32" t="str">
        <f>IF('8030 Ballast Calculator'!D28=1,"","600/65R28")</f>
        <v>600/65R28</v>
      </c>
      <c r="BE123" s="28" t="s">
        <v>7</v>
      </c>
    </row>
    <row r="124" spans="52:57" ht="12.75">
      <c r="AZ124" s="212"/>
      <c r="BB124" s="32">
        <v>17</v>
      </c>
      <c r="BC124" s="32">
        <v>43</v>
      </c>
      <c r="BD124" s="32" t="str">
        <f>IF('8030 Ballast Calculator'!D28=1,"","600/70R30")</f>
        <v>600/70R30</v>
      </c>
      <c r="BE124" s="28" t="s">
        <v>7</v>
      </c>
    </row>
    <row r="125" spans="52:57" ht="12.75">
      <c r="AZ125" s="212"/>
      <c r="BB125" s="32">
        <v>18</v>
      </c>
      <c r="BC125" s="58">
        <v>44</v>
      </c>
      <c r="BD125" s="32" t="str">
        <f>IF('8030 Ballast Calculator'!D28=1,"","620/75R30")</f>
        <v>620/75R30</v>
      </c>
      <c r="BE125" s="28" t="s">
        <v>7</v>
      </c>
    </row>
    <row r="126" spans="59:94" ht="12.75">
      <c r="BG126" s="252" t="s">
        <v>109</v>
      </c>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3"/>
      <c r="CE126" s="253"/>
      <c r="CF126" s="253"/>
      <c r="CG126" s="253"/>
      <c r="CH126" s="253"/>
      <c r="CI126" s="253"/>
      <c r="CJ126" s="253"/>
      <c r="CK126" s="253"/>
      <c r="CL126" s="253"/>
      <c r="CM126" s="253"/>
      <c r="CN126" s="253"/>
      <c r="CO126" s="253"/>
      <c r="CP126" s="254"/>
    </row>
    <row r="127" spans="59:94" ht="12.75">
      <c r="BG127" s="150"/>
      <c r="BH127" s="221" t="s">
        <v>110</v>
      </c>
      <c r="BI127" s="221"/>
      <c r="BJ127" s="221"/>
      <c r="BK127" s="221"/>
      <c r="BL127" s="221"/>
      <c r="BM127" s="221"/>
      <c r="BN127" s="221"/>
      <c r="BO127" s="221"/>
      <c r="BP127" s="221"/>
      <c r="BQ127" s="221"/>
      <c r="BR127" s="221"/>
      <c r="BS127" s="221"/>
      <c r="BT127" s="221"/>
      <c r="BU127" s="221"/>
      <c r="BV127" s="221"/>
      <c r="BW127" s="221"/>
      <c r="BX127" s="221"/>
      <c r="BY127" s="221"/>
      <c r="BZ127" s="221"/>
      <c r="CA127" s="221"/>
      <c r="CB127" s="11"/>
      <c r="CC127" s="221" t="s">
        <v>111</v>
      </c>
      <c r="CD127" s="221"/>
      <c r="CE127" s="221"/>
      <c r="CF127" s="221"/>
      <c r="CG127" s="221"/>
      <c r="CH127" s="221"/>
      <c r="CI127" s="221"/>
      <c r="CJ127" s="221"/>
      <c r="CK127" s="221"/>
      <c r="CL127" s="221"/>
      <c r="CM127" s="221"/>
      <c r="CN127" s="11"/>
      <c r="CO127" s="221" t="s">
        <v>88</v>
      </c>
      <c r="CP127" s="221"/>
    </row>
    <row r="128" spans="59:94" ht="12.75">
      <c r="BG128" s="32"/>
      <c r="BH128" s="32" t="s">
        <v>20</v>
      </c>
      <c r="BI128" s="32" t="s">
        <v>19</v>
      </c>
      <c r="BJ128" s="32" t="s">
        <v>83</v>
      </c>
      <c r="BK128" s="32" t="s">
        <v>68</v>
      </c>
      <c r="BL128" s="32" t="s">
        <v>66</v>
      </c>
      <c r="BM128" s="32" t="s">
        <v>67</v>
      </c>
      <c r="BN128" s="32" t="s">
        <v>84</v>
      </c>
      <c r="BO128" s="32" t="s">
        <v>63</v>
      </c>
      <c r="BP128" s="32" t="s">
        <v>63</v>
      </c>
      <c r="BQ128" s="32" t="s">
        <v>69</v>
      </c>
      <c r="BR128" s="58" t="s">
        <v>64</v>
      </c>
      <c r="BS128" s="32" t="s">
        <v>65</v>
      </c>
      <c r="BT128" s="32" t="s">
        <v>73</v>
      </c>
      <c r="BU128" s="32" t="s">
        <v>71</v>
      </c>
      <c r="BV128" s="32" t="s">
        <v>72</v>
      </c>
      <c r="BW128" s="58" t="s">
        <v>70</v>
      </c>
      <c r="BX128" s="58" t="s">
        <v>74</v>
      </c>
      <c r="BY128" s="58" t="s">
        <v>75</v>
      </c>
      <c r="BZ128" s="58" t="s">
        <v>106</v>
      </c>
      <c r="CA128" s="58" t="s">
        <v>105</v>
      </c>
      <c r="CB128" s="50"/>
      <c r="CC128" s="58" t="s">
        <v>83</v>
      </c>
      <c r="CD128" s="58" t="s">
        <v>68</v>
      </c>
      <c r="CE128" s="58" t="s">
        <v>66</v>
      </c>
      <c r="CF128" s="58" t="s">
        <v>67</v>
      </c>
      <c r="CG128" s="58" t="s">
        <v>64</v>
      </c>
      <c r="CH128" s="58" t="s">
        <v>63</v>
      </c>
      <c r="CI128" s="58" t="s">
        <v>84</v>
      </c>
      <c r="CJ128" s="58" t="s">
        <v>65</v>
      </c>
      <c r="CK128" s="58" t="s">
        <v>71</v>
      </c>
      <c r="CL128" s="58" t="s">
        <v>72</v>
      </c>
      <c r="CM128" s="32" t="s">
        <v>73</v>
      </c>
      <c r="CN128" s="49"/>
      <c r="CO128" s="250" t="str">
        <f>VLOOKUP('8030 Ballast Calculator'!D30,BB108:BD125,3,FALSE)</f>
        <v>420/85R34</v>
      </c>
      <c r="CP128" s="251"/>
    </row>
    <row r="129" spans="59:94" ht="12.75">
      <c r="BG129" s="32">
        <v>4000</v>
      </c>
      <c r="BH129" s="32">
        <v>25</v>
      </c>
      <c r="BI129" s="32">
        <v>25</v>
      </c>
      <c r="BJ129" s="65">
        <v>8</v>
      </c>
      <c r="BK129" s="65">
        <v>8</v>
      </c>
      <c r="BL129" s="65">
        <v>9</v>
      </c>
      <c r="BM129" s="65">
        <v>8</v>
      </c>
      <c r="BN129" s="65">
        <v>8</v>
      </c>
      <c r="BO129" s="65">
        <v>8</v>
      </c>
      <c r="BP129" s="65">
        <v>8</v>
      </c>
      <c r="BQ129" s="65">
        <v>8</v>
      </c>
      <c r="BR129" s="65">
        <v>8</v>
      </c>
      <c r="BS129" s="65">
        <v>8</v>
      </c>
      <c r="BT129" s="65">
        <v>8</v>
      </c>
      <c r="BU129" s="65">
        <v>8</v>
      </c>
      <c r="BV129" s="65">
        <v>8</v>
      </c>
      <c r="BW129" s="65">
        <v>8</v>
      </c>
      <c r="BX129" s="65">
        <v>8</v>
      </c>
      <c r="BY129" s="65">
        <v>8</v>
      </c>
      <c r="BZ129" s="65"/>
      <c r="CA129" s="65"/>
      <c r="CC129" s="65">
        <v>6</v>
      </c>
      <c r="CD129" s="65">
        <v>6</v>
      </c>
      <c r="CE129" s="65">
        <v>6</v>
      </c>
      <c r="CF129" s="65">
        <v>6</v>
      </c>
      <c r="CG129" s="65">
        <v>6</v>
      </c>
      <c r="CH129" s="65">
        <v>6</v>
      </c>
      <c r="CI129" s="65">
        <v>6</v>
      </c>
      <c r="CJ129" s="65">
        <v>6</v>
      </c>
      <c r="CK129" s="65">
        <v>6</v>
      </c>
      <c r="CL129" s="65">
        <v>6</v>
      </c>
      <c r="CM129" s="65">
        <v>6</v>
      </c>
      <c r="CN129" s="11"/>
      <c r="CO129" s="28">
        <v>4000</v>
      </c>
      <c r="CP129" s="32">
        <f>IF('8030 Ballast Calculator'!D32=2,HLOOKUP('8030 Ballast Calculator'!E30,'8030 Wheel Data Sheet'!$BH$128:$CA$164,2,FALSE),HLOOKUP('8030 Ballast Calculator'!E30,'8030 Wheel Data Sheet'!CC128:CM164,2,FALSE))</f>
        <v>8</v>
      </c>
    </row>
    <row r="130" spans="59:94" ht="12.75">
      <c r="BG130" s="32">
        <v>4500</v>
      </c>
      <c r="BH130" s="32">
        <v>25</v>
      </c>
      <c r="BI130" s="32">
        <v>25</v>
      </c>
      <c r="BJ130" s="65">
        <v>8</v>
      </c>
      <c r="BK130" s="65">
        <v>8</v>
      </c>
      <c r="BL130" s="65">
        <v>9</v>
      </c>
      <c r="BM130" s="65">
        <v>9</v>
      </c>
      <c r="BN130" s="65">
        <v>8</v>
      </c>
      <c r="BO130" s="65">
        <v>8</v>
      </c>
      <c r="BP130" s="65">
        <v>8</v>
      </c>
      <c r="BQ130" s="65">
        <v>8</v>
      </c>
      <c r="BR130" s="65">
        <v>8</v>
      </c>
      <c r="BS130" s="65">
        <v>8</v>
      </c>
      <c r="BT130" s="65">
        <v>8</v>
      </c>
      <c r="BU130" s="65">
        <v>8</v>
      </c>
      <c r="BV130" s="65">
        <v>8</v>
      </c>
      <c r="BW130" s="65">
        <v>9</v>
      </c>
      <c r="BX130" s="65">
        <v>8</v>
      </c>
      <c r="BY130" s="65">
        <v>8</v>
      </c>
      <c r="BZ130" s="65"/>
      <c r="CA130" s="65"/>
      <c r="CC130" s="65">
        <v>6</v>
      </c>
      <c r="CD130" s="65">
        <v>6</v>
      </c>
      <c r="CE130" s="65">
        <v>6</v>
      </c>
      <c r="CF130" s="65">
        <v>6</v>
      </c>
      <c r="CG130" s="65">
        <v>6</v>
      </c>
      <c r="CH130" s="65">
        <v>6</v>
      </c>
      <c r="CI130" s="65">
        <v>6</v>
      </c>
      <c r="CJ130" s="65">
        <v>6</v>
      </c>
      <c r="CK130" s="65">
        <v>6</v>
      </c>
      <c r="CL130" s="65">
        <v>6</v>
      </c>
      <c r="CM130" s="65">
        <v>6</v>
      </c>
      <c r="CN130" s="11"/>
      <c r="CO130" s="28">
        <v>4500</v>
      </c>
      <c r="CP130" s="32">
        <f>IF('8030 Ballast Calculator'!D32=2,HLOOKUP('8030 Ballast Calculator'!E30,'8030 Wheel Data Sheet'!$BH$128:$CA$164,3,FALSE),HLOOKUP('8030 Ballast Calculator'!E30,'8030 Wheel Data Sheet'!CC128:CM164,3,FALSE))</f>
        <v>8</v>
      </c>
    </row>
    <row r="131" spans="59:94" ht="12.75">
      <c r="BG131" s="32">
        <v>5000</v>
      </c>
      <c r="BH131" s="32">
        <v>25</v>
      </c>
      <c r="BI131" s="32">
        <v>25</v>
      </c>
      <c r="BJ131" s="65">
        <v>9</v>
      </c>
      <c r="BK131" s="65">
        <v>8</v>
      </c>
      <c r="BL131" s="65">
        <v>13</v>
      </c>
      <c r="BM131" s="65">
        <v>12</v>
      </c>
      <c r="BN131" s="65">
        <v>8</v>
      </c>
      <c r="BO131" s="65">
        <v>8</v>
      </c>
      <c r="BP131" s="65">
        <v>8</v>
      </c>
      <c r="BQ131" s="65">
        <v>8</v>
      </c>
      <c r="BR131" s="65">
        <v>8</v>
      </c>
      <c r="BS131" s="65">
        <v>8</v>
      </c>
      <c r="BT131" s="65">
        <v>8</v>
      </c>
      <c r="BU131" s="65">
        <v>8</v>
      </c>
      <c r="BV131" s="65">
        <v>8</v>
      </c>
      <c r="BW131" s="65">
        <v>11</v>
      </c>
      <c r="BX131" s="65">
        <v>8</v>
      </c>
      <c r="BY131" s="65">
        <v>8</v>
      </c>
      <c r="BZ131" s="65"/>
      <c r="CA131" s="65"/>
      <c r="CC131" s="65">
        <v>6</v>
      </c>
      <c r="CD131" s="65">
        <v>6</v>
      </c>
      <c r="CE131" s="65">
        <v>6</v>
      </c>
      <c r="CF131" s="65">
        <v>6</v>
      </c>
      <c r="CG131" s="65">
        <v>6</v>
      </c>
      <c r="CH131" s="65">
        <v>6</v>
      </c>
      <c r="CI131" s="65">
        <v>6</v>
      </c>
      <c r="CJ131" s="65">
        <v>6</v>
      </c>
      <c r="CK131" s="65">
        <v>6</v>
      </c>
      <c r="CL131" s="65">
        <v>6</v>
      </c>
      <c r="CM131" s="65">
        <v>6</v>
      </c>
      <c r="CN131" s="11"/>
      <c r="CO131" s="28">
        <v>5000</v>
      </c>
      <c r="CP131" s="32">
        <f>IF('8030 Ballast Calculator'!D32=2,HLOOKUP('8030 Ballast Calculator'!E30,'8030 Wheel Data Sheet'!$BH$128:$CA$164,4,FALSE),HLOOKUP('8030 Ballast Calculator'!E30,'8030 Wheel Data Sheet'!CC128:CM164,4,FALSE))</f>
        <v>8</v>
      </c>
    </row>
    <row r="132" spans="59:94" ht="12.75">
      <c r="BG132" s="32">
        <f>BG131+500</f>
        <v>5500</v>
      </c>
      <c r="BH132" s="32">
        <v>25</v>
      </c>
      <c r="BI132" s="32">
        <v>29</v>
      </c>
      <c r="BJ132" s="65">
        <v>9</v>
      </c>
      <c r="BK132" s="65">
        <v>9</v>
      </c>
      <c r="BL132" s="65">
        <v>16</v>
      </c>
      <c r="BM132" s="65">
        <v>14</v>
      </c>
      <c r="BN132" s="65">
        <v>8</v>
      </c>
      <c r="BO132" s="65">
        <v>8</v>
      </c>
      <c r="BP132" s="65">
        <v>8</v>
      </c>
      <c r="BQ132" s="65">
        <v>8</v>
      </c>
      <c r="BR132" s="65">
        <v>8</v>
      </c>
      <c r="BS132" s="65">
        <v>8</v>
      </c>
      <c r="BT132" s="65">
        <v>8</v>
      </c>
      <c r="BU132" s="65">
        <v>9</v>
      </c>
      <c r="BV132" s="65">
        <v>8</v>
      </c>
      <c r="BW132" s="65">
        <v>13</v>
      </c>
      <c r="BX132" s="65">
        <v>8</v>
      </c>
      <c r="BY132" s="65">
        <v>8</v>
      </c>
      <c r="BZ132" s="65"/>
      <c r="CA132" s="65"/>
      <c r="CC132" s="65">
        <v>6</v>
      </c>
      <c r="CD132" s="65">
        <v>6</v>
      </c>
      <c r="CE132" s="65">
        <v>6</v>
      </c>
      <c r="CF132" s="65">
        <v>6</v>
      </c>
      <c r="CG132" s="65">
        <v>6</v>
      </c>
      <c r="CH132" s="65">
        <v>6</v>
      </c>
      <c r="CI132" s="65">
        <v>6</v>
      </c>
      <c r="CJ132" s="65">
        <v>6</v>
      </c>
      <c r="CK132" s="65">
        <v>6</v>
      </c>
      <c r="CL132" s="65">
        <v>6</v>
      </c>
      <c r="CM132" s="65">
        <v>6</v>
      </c>
      <c r="CN132" s="11"/>
      <c r="CO132" s="28">
        <f>CO131+500</f>
        <v>5500</v>
      </c>
      <c r="CP132" s="32">
        <f>IF('8030 Ballast Calculator'!D32=2,HLOOKUP('8030 Ballast Calculator'!E30,'8030 Wheel Data Sheet'!$BH$128:$CA$164,5,FALSE),HLOOKUP('8030 Ballast Calculator'!E30,'8030 Wheel Data Sheet'!CC128:CM164,5,FALSE))</f>
        <v>8</v>
      </c>
    </row>
    <row r="133" spans="59:94" ht="12.75">
      <c r="BG133" s="32">
        <f aca="true" t="shared" si="1" ref="BG133:BG164">BG132+500</f>
        <v>6000</v>
      </c>
      <c r="BH133" s="32">
        <v>25</v>
      </c>
      <c r="BI133" s="32">
        <v>34</v>
      </c>
      <c r="BJ133" s="65">
        <v>13</v>
      </c>
      <c r="BK133" s="65">
        <v>10</v>
      </c>
      <c r="BL133" s="65">
        <v>17</v>
      </c>
      <c r="BM133" s="65">
        <v>15</v>
      </c>
      <c r="BN133" s="65">
        <v>8</v>
      </c>
      <c r="BO133" s="65">
        <v>8</v>
      </c>
      <c r="BP133" s="65">
        <v>8</v>
      </c>
      <c r="BQ133" s="65">
        <v>8</v>
      </c>
      <c r="BR133" s="65">
        <v>8</v>
      </c>
      <c r="BS133" s="65">
        <v>9</v>
      </c>
      <c r="BT133" s="65">
        <v>9</v>
      </c>
      <c r="BU133" s="65">
        <v>10</v>
      </c>
      <c r="BV133" s="65">
        <v>8</v>
      </c>
      <c r="BW133" s="65">
        <v>15</v>
      </c>
      <c r="BX133" s="65">
        <v>8</v>
      </c>
      <c r="BY133" s="65">
        <v>8</v>
      </c>
      <c r="BZ133" s="65"/>
      <c r="CA133" s="65"/>
      <c r="CC133" s="65">
        <v>6</v>
      </c>
      <c r="CD133" s="65">
        <v>6</v>
      </c>
      <c r="CE133" s="65">
        <v>6</v>
      </c>
      <c r="CF133" s="65">
        <v>6</v>
      </c>
      <c r="CG133" s="65">
        <v>6</v>
      </c>
      <c r="CH133" s="65">
        <v>6</v>
      </c>
      <c r="CI133" s="65">
        <v>6</v>
      </c>
      <c r="CJ133" s="65">
        <v>6</v>
      </c>
      <c r="CK133" s="65">
        <v>6</v>
      </c>
      <c r="CL133" s="65">
        <v>6</v>
      </c>
      <c r="CM133" s="65">
        <v>6</v>
      </c>
      <c r="CN133" s="11"/>
      <c r="CO133" s="28">
        <f aca="true" t="shared" si="2" ref="CO133:CO164">CO132+500</f>
        <v>6000</v>
      </c>
      <c r="CP133" s="32">
        <f>IF('8030 Ballast Calculator'!D32=2,HLOOKUP('8030 Ballast Calculator'!E30,'8030 Wheel Data Sheet'!$BH$128:$CA$164,6,FALSE),HLOOKUP('8030 Ballast Calculator'!E30,'8030 Wheel Data Sheet'!CC128:CM164,6,FALSE))</f>
        <v>8</v>
      </c>
    </row>
    <row r="134" spans="59:94" ht="12.75">
      <c r="BG134" s="32">
        <f t="shared" si="1"/>
        <v>6500</v>
      </c>
      <c r="BH134" s="32">
        <v>28</v>
      </c>
      <c r="BI134" s="32">
        <v>38</v>
      </c>
      <c r="BJ134" s="65">
        <v>15</v>
      </c>
      <c r="BK134" s="65">
        <v>13</v>
      </c>
      <c r="BL134" s="65">
        <v>19</v>
      </c>
      <c r="BM134" s="65">
        <v>17</v>
      </c>
      <c r="BN134" s="65">
        <v>10</v>
      </c>
      <c r="BO134" s="65">
        <v>9</v>
      </c>
      <c r="BP134" s="65">
        <v>9</v>
      </c>
      <c r="BQ134" s="65">
        <v>8</v>
      </c>
      <c r="BR134" s="65">
        <v>9</v>
      </c>
      <c r="BS134" s="65">
        <v>10</v>
      </c>
      <c r="BT134" s="65">
        <v>10</v>
      </c>
      <c r="BU134" s="65">
        <v>13</v>
      </c>
      <c r="BV134" s="65">
        <v>9</v>
      </c>
      <c r="BW134" s="65">
        <v>17</v>
      </c>
      <c r="BX134" s="65">
        <v>9</v>
      </c>
      <c r="BY134" s="65">
        <v>8</v>
      </c>
      <c r="BZ134" s="65"/>
      <c r="CA134" s="65"/>
      <c r="CC134" s="65">
        <v>6</v>
      </c>
      <c r="CD134" s="65">
        <v>6</v>
      </c>
      <c r="CE134" s="65">
        <v>7</v>
      </c>
      <c r="CF134" s="65">
        <v>6</v>
      </c>
      <c r="CG134" s="65">
        <v>6</v>
      </c>
      <c r="CH134" s="65">
        <v>6</v>
      </c>
      <c r="CI134" s="65">
        <v>6</v>
      </c>
      <c r="CJ134" s="65">
        <v>6</v>
      </c>
      <c r="CK134" s="65">
        <v>6</v>
      </c>
      <c r="CL134" s="65">
        <v>6</v>
      </c>
      <c r="CM134" s="65">
        <v>8</v>
      </c>
      <c r="CN134" s="11"/>
      <c r="CO134" s="28">
        <f t="shared" si="2"/>
        <v>6500</v>
      </c>
      <c r="CP134" s="32">
        <f>IF('8030 Ballast Calculator'!D32=2,HLOOKUP('8030 Ballast Calculator'!E30,'8030 Wheel Data Sheet'!$BH$128:$CA$164,7,FALSE),HLOOKUP('8030 Ballast Calculator'!E30,'8030 Wheel Data Sheet'!CC128:CM164,7,FALSE))</f>
        <v>9</v>
      </c>
    </row>
    <row r="135" spans="59:94" ht="12.75">
      <c r="BG135" s="32">
        <f t="shared" si="1"/>
        <v>7000</v>
      </c>
      <c r="BH135" s="32">
        <v>30</v>
      </c>
      <c r="BI135" s="32">
        <v>38</v>
      </c>
      <c r="BJ135" s="65">
        <v>16</v>
      </c>
      <c r="BK135" s="66">
        <v>13</v>
      </c>
      <c r="BL135" s="65">
        <v>21</v>
      </c>
      <c r="BM135" s="65">
        <v>18</v>
      </c>
      <c r="BN135" s="65">
        <v>11</v>
      </c>
      <c r="BO135" s="65">
        <v>11</v>
      </c>
      <c r="BP135" s="65">
        <v>11</v>
      </c>
      <c r="BQ135" s="65">
        <v>8</v>
      </c>
      <c r="BR135" s="65">
        <v>11</v>
      </c>
      <c r="BS135" s="65">
        <v>11</v>
      </c>
      <c r="BT135" s="65">
        <v>11</v>
      </c>
      <c r="BU135" s="65">
        <v>14</v>
      </c>
      <c r="BV135" s="65">
        <v>11</v>
      </c>
      <c r="BW135" s="65">
        <v>18</v>
      </c>
      <c r="BX135" s="65">
        <v>10</v>
      </c>
      <c r="BY135" s="65">
        <v>8</v>
      </c>
      <c r="BZ135" s="65"/>
      <c r="CA135" s="65"/>
      <c r="CC135" s="66">
        <v>8</v>
      </c>
      <c r="CD135" s="65">
        <v>6</v>
      </c>
      <c r="CE135" s="65">
        <v>9</v>
      </c>
      <c r="CF135" s="66">
        <v>7</v>
      </c>
      <c r="CG135" s="65">
        <v>6</v>
      </c>
      <c r="CH135" s="65">
        <v>6</v>
      </c>
      <c r="CI135" s="65">
        <v>6</v>
      </c>
      <c r="CJ135" s="65">
        <v>6</v>
      </c>
      <c r="CK135" s="65">
        <v>8</v>
      </c>
      <c r="CL135" s="65">
        <v>8</v>
      </c>
      <c r="CM135" s="65">
        <v>8</v>
      </c>
      <c r="CN135" s="11"/>
      <c r="CO135" s="28">
        <f t="shared" si="2"/>
        <v>7000</v>
      </c>
      <c r="CP135" s="32">
        <f>IF('8030 Ballast Calculator'!D32=2,HLOOKUP('8030 Ballast Calculator'!E30,'8030 Wheel Data Sheet'!$BH$128:$CA$164,8,FALSE),HLOOKUP('8030 Ballast Calculator'!E30,'8030 Wheel Data Sheet'!CC128:CM164,8,FALSE))</f>
        <v>11</v>
      </c>
    </row>
    <row r="136" spans="59:94" ht="12.75">
      <c r="BG136" s="32">
        <f t="shared" si="1"/>
        <v>7500</v>
      </c>
      <c r="BH136" s="32">
        <v>30</v>
      </c>
      <c r="BI136" s="32">
        <v>38</v>
      </c>
      <c r="BJ136" s="65">
        <v>19</v>
      </c>
      <c r="BK136" s="66">
        <v>15</v>
      </c>
      <c r="BL136" s="65">
        <v>24</v>
      </c>
      <c r="BM136" s="65">
        <v>21</v>
      </c>
      <c r="BN136" s="65">
        <v>12</v>
      </c>
      <c r="BO136" s="65">
        <v>13</v>
      </c>
      <c r="BP136" s="65">
        <v>13</v>
      </c>
      <c r="BQ136" s="65">
        <v>9</v>
      </c>
      <c r="BR136" s="65">
        <v>13</v>
      </c>
      <c r="BS136" s="65">
        <v>13</v>
      </c>
      <c r="BT136" s="65">
        <v>13</v>
      </c>
      <c r="BU136" s="65">
        <v>16</v>
      </c>
      <c r="BV136" s="65">
        <v>13</v>
      </c>
      <c r="BW136" s="65">
        <v>20</v>
      </c>
      <c r="BX136" s="65">
        <v>11</v>
      </c>
      <c r="BY136" s="65">
        <v>8</v>
      </c>
      <c r="BZ136" s="65"/>
      <c r="CA136" s="65"/>
      <c r="CC136" s="66">
        <v>8</v>
      </c>
      <c r="CD136" s="65">
        <v>6</v>
      </c>
      <c r="CE136" s="65">
        <v>10</v>
      </c>
      <c r="CF136" s="66">
        <v>8</v>
      </c>
      <c r="CG136" s="65">
        <v>6</v>
      </c>
      <c r="CH136" s="65">
        <v>6</v>
      </c>
      <c r="CI136" s="65">
        <v>6</v>
      </c>
      <c r="CJ136" s="65">
        <v>6</v>
      </c>
      <c r="CK136" s="65">
        <v>8</v>
      </c>
      <c r="CL136" s="65">
        <v>8</v>
      </c>
      <c r="CM136" s="65">
        <v>8</v>
      </c>
      <c r="CN136" s="11"/>
      <c r="CO136" s="28">
        <f t="shared" si="2"/>
        <v>7500</v>
      </c>
      <c r="CP136" s="32">
        <f>IF('8030 Ballast Calculator'!D32=2,HLOOKUP('8030 Ballast Calculator'!E30,'8030 Wheel Data Sheet'!$BH$128:$CA$164,9,FALSE),HLOOKUP('8030 Ballast Calculator'!E30,'8030 Wheel Data Sheet'!CC128:CM164,9,FALSE))</f>
        <v>13</v>
      </c>
    </row>
    <row r="137" spans="59:94" ht="12.75">
      <c r="BG137" s="32">
        <f t="shared" si="1"/>
        <v>8000</v>
      </c>
      <c r="BH137" s="32" t="s">
        <v>76</v>
      </c>
      <c r="BI137" s="32" t="s">
        <v>76</v>
      </c>
      <c r="BJ137" s="65">
        <v>20</v>
      </c>
      <c r="BK137" s="66">
        <v>16</v>
      </c>
      <c r="BL137" s="65">
        <v>27</v>
      </c>
      <c r="BM137" s="65">
        <v>23</v>
      </c>
      <c r="BN137" s="65">
        <v>13</v>
      </c>
      <c r="BO137" s="65">
        <v>14</v>
      </c>
      <c r="BP137" s="65">
        <v>14</v>
      </c>
      <c r="BQ137" s="65">
        <v>10</v>
      </c>
      <c r="BR137" s="65">
        <v>14</v>
      </c>
      <c r="BS137" s="65">
        <v>14</v>
      </c>
      <c r="BT137" s="65">
        <v>14</v>
      </c>
      <c r="BU137" s="65">
        <v>17</v>
      </c>
      <c r="BV137" s="65">
        <v>14</v>
      </c>
      <c r="BW137" s="65">
        <v>22</v>
      </c>
      <c r="BX137" s="65">
        <v>13</v>
      </c>
      <c r="BY137" s="65">
        <v>9</v>
      </c>
      <c r="BZ137" s="65"/>
      <c r="CA137" s="65"/>
      <c r="CC137" s="66">
        <v>9</v>
      </c>
      <c r="CD137" s="65">
        <v>8</v>
      </c>
      <c r="CE137" s="65">
        <v>11</v>
      </c>
      <c r="CF137" s="66">
        <v>10</v>
      </c>
      <c r="CG137" s="65">
        <v>7</v>
      </c>
      <c r="CH137" s="65">
        <v>7</v>
      </c>
      <c r="CI137" s="65">
        <v>6</v>
      </c>
      <c r="CJ137" s="65">
        <v>6</v>
      </c>
      <c r="CK137" s="65">
        <v>8</v>
      </c>
      <c r="CL137" s="65">
        <v>8</v>
      </c>
      <c r="CM137" s="65">
        <v>8</v>
      </c>
      <c r="CN137" s="11"/>
      <c r="CO137" s="28">
        <f t="shared" si="2"/>
        <v>8000</v>
      </c>
      <c r="CP137" s="32">
        <f>IF('8030 Ballast Calculator'!D32=2,HLOOKUP('8030 Ballast Calculator'!E30,'8030 Wheel Data Sheet'!$BH$128:$CA$164,10,FALSE),HLOOKUP('8030 Ballast Calculator'!E30,'8030 Wheel Data Sheet'!CC128:CM164,10,FALSE))</f>
        <v>14</v>
      </c>
    </row>
    <row r="138" spans="59:94" ht="12.75">
      <c r="BG138" s="32">
        <f t="shared" si="1"/>
        <v>8500</v>
      </c>
      <c r="BH138" s="32" t="s">
        <v>76</v>
      </c>
      <c r="BI138" s="32" t="s">
        <v>76</v>
      </c>
      <c r="BJ138" s="65">
        <v>25</v>
      </c>
      <c r="BK138" s="66">
        <v>18</v>
      </c>
      <c r="BL138" s="65">
        <v>33</v>
      </c>
      <c r="BM138" s="65">
        <v>26</v>
      </c>
      <c r="BN138" s="65">
        <v>15</v>
      </c>
      <c r="BO138" s="65">
        <v>16</v>
      </c>
      <c r="BP138" s="65">
        <v>16</v>
      </c>
      <c r="BQ138" s="65">
        <v>11</v>
      </c>
      <c r="BR138" s="65">
        <v>16</v>
      </c>
      <c r="BS138" s="65">
        <v>16</v>
      </c>
      <c r="BT138" s="65">
        <v>16</v>
      </c>
      <c r="BU138" s="65">
        <v>18</v>
      </c>
      <c r="BV138" s="65">
        <v>15</v>
      </c>
      <c r="BW138" s="65">
        <v>25</v>
      </c>
      <c r="BX138" s="65">
        <v>13</v>
      </c>
      <c r="BY138" s="65">
        <v>10</v>
      </c>
      <c r="BZ138" s="65"/>
      <c r="CA138" s="65"/>
      <c r="CC138" s="66">
        <v>9</v>
      </c>
      <c r="CD138" s="65">
        <v>8</v>
      </c>
      <c r="CE138" s="65">
        <v>13</v>
      </c>
      <c r="CF138" s="66">
        <v>11</v>
      </c>
      <c r="CG138" s="65">
        <v>8</v>
      </c>
      <c r="CH138" s="65">
        <v>8</v>
      </c>
      <c r="CI138" s="65">
        <v>6</v>
      </c>
      <c r="CJ138" s="65">
        <v>6</v>
      </c>
      <c r="CK138" s="65">
        <v>8</v>
      </c>
      <c r="CL138" s="65">
        <v>8</v>
      </c>
      <c r="CM138" s="65">
        <v>8</v>
      </c>
      <c r="CN138" s="11"/>
      <c r="CO138" s="28">
        <f t="shared" si="2"/>
        <v>8500</v>
      </c>
      <c r="CP138" s="32">
        <f>IF('8030 Ballast Calculator'!D32=2,HLOOKUP('8030 Ballast Calculator'!E30,'8030 Wheel Data Sheet'!$BH$128:$CA$164,11,FALSE),HLOOKUP('8030 Ballast Calculator'!E30,'8030 Wheel Data Sheet'!CC128:CM164,11,FALSE))</f>
        <v>15</v>
      </c>
    </row>
    <row r="139" spans="59:94" ht="12.75">
      <c r="BG139" s="32">
        <f t="shared" si="1"/>
        <v>9000</v>
      </c>
      <c r="BH139" s="32" t="s">
        <v>76</v>
      </c>
      <c r="BI139" s="32" t="s">
        <v>76</v>
      </c>
      <c r="BJ139" s="65">
        <v>26</v>
      </c>
      <c r="BK139" s="66">
        <v>19</v>
      </c>
      <c r="BL139" s="65">
        <v>38</v>
      </c>
      <c r="BM139" s="65">
        <v>29</v>
      </c>
      <c r="BN139" s="65">
        <v>16</v>
      </c>
      <c r="BO139" s="65">
        <v>17</v>
      </c>
      <c r="BP139" s="65">
        <v>17</v>
      </c>
      <c r="BQ139" s="65">
        <v>12</v>
      </c>
      <c r="BR139" s="65">
        <v>17</v>
      </c>
      <c r="BS139" s="65">
        <v>17</v>
      </c>
      <c r="BT139" s="65">
        <v>17</v>
      </c>
      <c r="BU139" s="65">
        <v>20</v>
      </c>
      <c r="BV139" s="65">
        <v>16</v>
      </c>
      <c r="BW139" s="65">
        <v>29</v>
      </c>
      <c r="BX139" s="65">
        <v>15</v>
      </c>
      <c r="BY139" s="65">
        <v>11</v>
      </c>
      <c r="BZ139" s="65"/>
      <c r="CA139" s="65"/>
      <c r="CC139" s="66">
        <v>10</v>
      </c>
      <c r="CD139" s="65">
        <v>8</v>
      </c>
      <c r="CE139" s="65">
        <v>14</v>
      </c>
      <c r="CF139" s="66">
        <v>12</v>
      </c>
      <c r="CG139" s="65">
        <v>8</v>
      </c>
      <c r="CH139" s="65">
        <v>8</v>
      </c>
      <c r="CI139" s="65">
        <v>7</v>
      </c>
      <c r="CJ139" s="65">
        <v>7</v>
      </c>
      <c r="CK139" s="65">
        <v>8</v>
      </c>
      <c r="CL139" s="65">
        <v>8</v>
      </c>
      <c r="CM139" s="65">
        <v>8</v>
      </c>
      <c r="CN139" s="11"/>
      <c r="CO139" s="28">
        <f t="shared" si="2"/>
        <v>9000</v>
      </c>
      <c r="CP139" s="32">
        <f>IF('8030 Ballast Calculator'!D32=2,HLOOKUP('8030 Ballast Calculator'!E30,'8030 Wheel Data Sheet'!$BH$128:$CA$164,12,FALSE),HLOOKUP('8030 Ballast Calculator'!E30,'8030 Wheel Data Sheet'!CC128:CM164,12,FALSE))</f>
        <v>16</v>
      </c>
    </row>
    <row r="140" spans="59:94" ht="12.75">
      <c r="BG140" s="32">
        <f t="shared" si="1"/>
        <v>9500</v>
      </c>
      <c r="BH140" s="32" t="s">
        <v>76</v>
      </c>
      <c r="BI140" s="32" t="s">
        <v>76</v>
      </c>
      <c r="BJ140" s="65">
        <v>28</v>
      </c>
      <c r="BK140" s="66">
        <v>21</v>
      </c>
      <c r="BL140" s="65">
        <v>41</v>
      </c>
      <c r="BM140" s="65">
        <v>34</v>
      </c>
      <c r="BN140" s="65">
        <v>18</v>
      </c>
      <c r="BO140" s="65">
        <v>17</v>
      </c>
      <c r="BP140" s="65">
        <v>17</v>
      </c>
      <c r="BQ140" s="65">
        <v>13</v>
      </c>
      <c r="BR140" s="65">
        <v>17</v>
      </c>
      <c r="BS140" s="65">
        <v>18</v>
      </c>
      <c r="BT140" s="65">
        <v>18</v>
      </c>
      <c r="BU140" s="65">
        <v>22</v>
      </c>
      <c r="BV140" s="65">
        <v>17</v>
      </c>
      <c r="BW140" s="65">
        <v>34</v>
      </c>
      <c r="BX140" s="65">
        <v>16</v>
      </c>
      <c r="BY140" s="65">
        <v>12</v>
      </c>
      <c r="BZ140" s="65"/>
      <c r="CA140" s="65"/>
      <c r="CC140" s="66">
        <v>11</v>
      </c>
      <c r="CD140" s="65">
        <v>8</v>
      </c>
      <c r="CE140" s="65">
        <v>16</v>
      </c>
      <c r="CF140" s="66">
        <v>13</v>
      </c>
      <c r="CG140" s="65">
        <v>9</v>
      </c>
      <c r="CH140" s="65">
        <v>9</v>
      </c>
      <c r="CI140" s="65">
        <v>7</v>
      </c>
      <c r="CJ140" s="65">
        <v>7</v>
      </c>
      <c r="CK140" s="65">
        <v>9</v>
      </c>
      <c r="CL140" s="65">
        <v>8</v>
      </c>
      <c r="CM140" s="65">
        <v>8</v>
      </c>
      <c r="CN140" s="11"/>
      <c r="CO140" s="28">
        <f t="shared" si="2"/>
        <v>9500</v>
      </c>
      <c r="CP140" s="32">
        <f>IF('8030 Ballast Calculator'!D32=2,HLOOKUP('8030 Ballast Calculator'!E30,'8030 Wheel Data Sheet'!$BH$128:$CA$164,13,FALSE),HLOOKUP('8030 Ballast Calculator'!E30,'8030 Wheel Data Sheet'!CC128:CM164,13,FALSE))</f>
        <v>17</v>
      </c>
    </row>
    <row r="141" spans="59:94" ht="12.75">
      <c r="BG141" s="32">
        <f t="shared" si="1"/>
        <v>10000</v>
      </c>
      <c r="BH141" s="32" t="s">
        <v>76</v>
      </c>
      <c r="BI141" s="32" t="s">
        <v>76</v>
      </c>
      <c r="BJ141" s="65">
        <v>30</v>
      </c>
      <c r="BK141" s="66">
        <v>22</v>
      </c>
      <c r="BL141" s="65">
        <v>45</v>
      </c>
      <c r="BM141" s="65">
        <v>38</v>
      </c>
      <c r="BN141" s="65">
        <v>19</v>
      </c>
      <c r="BO141" s="65">
        <v>19</v>
      </c>
      <c r="BP141" s="65">
        <v>19</v>
      </c>
      <c r="BQ141" s="65">
        <v>14</v>
      </c>
      <c r="BR141" s="65">
        <v>19</v>
      </c>
      <c r="BS141" s="65">
        <v>19</v>
      </c>
      <c r="BT141" s="65">
        <v>19</v>
      </c>
      <c r="BU141" s="65">
        <v>23</v>
      </c>
      <c r="BV141" s="65">
        <v>19</v>
      </c>
      <c r="BW141" s="65">
        <v>38</v>
      </c>
      <c r="BX141" s="65">
        <v>17</v>
      </c>
      <c r="BY141" s="65">
        <v>13</v>
      </c>
      <c r="BZ141" s="65"/>
      <c r="CA141" s="65"/>
      <c r="CC141" s="66">
        <v>12</v>
      </c>
      <c r="CD141" s="65">
        <v>9</v>
      </c>
      <c r="CE141" s="65">
        <v>16</v>
      </c>
      <c r="CF141" s="66">
        <v>14</v>
      </c>
      <c r="CG141" s="65">
        <v>10</v>
      </c>
      <c r="CH141" s="65">
        <v>10</v>
      </c>
      <c r="CI141" s="65">
        <v>8</v>
      </c>
      <c r="CJ141" s="65">
        <v>8</v>
      </c>
      <c r="CK141" s="65">
        <v>10</v>
      </c>
      <c r="CL141" s="65">
        <v>8</v>
      </c>
      <c r="CM141" s="65">
        <v>8</v>
      </c>
      <c r="CN141" s="11"/>
      <c r="CO141" s="28">
        <f t="shared" si="2"/>
        <v>10000</v>
      </c>
      <c r="CP141" s="32">
        <f>IF('8030 Ballast Calculator'!D32=2,HLOOKUP('8030 Ballast Calculator'!E30,'8030 Wheel Data Sheet'!$BH$128:$CA$164,14,FALSE),HLOOKUP('8030 Ballast Calculator'!E30,'8030 Wheel Data Sheet'!CC128:CM164,14,FALSE))</f>
        <v>19</v>
      </c>
    </row>
    <row r="142" spans="59:94" ht="12.75">
      <c r="BG142" s="32">
        <f t="shared" si="1"/>
        <v>10500</v>
      </c>
      <c r="BH142" s="32" t="s">
        <v>76</v>
      </c>
      <c r="BI142" s="32" t="s">
        <v>76</v>
      </c>
      <c r="BJ142" s="65" t="s">
        <v>76</v>
      </c>
      <c r="BK142" s="66">
        <v>23</v>
      </c>
      <c r="BL142" s="65" t="s">
        <v>76</v>
      </c>
      <c r="BM142" s="65">
        <v>41</v>
      </c>
      <c r="BN142" s="65">
        <v>21</v>
      </c>
      <c r="BO142" s="65">
        <v>20</v>
      </c>
      <c r="BP142" s="65">
        <v>20</v>
      </c>
      <c r="BQ142" s="65">
        <v>16</v>
      </c>
      <c r="BR142" s="65">
        <v>20</v>
      </c>
      <c r="BS142" s="65">
        <v>21</v>
      </c>
      <c r="BT142" s="65">
        <v>20</v>
      </c>
      <c r="BU142" s="65">
        <v>26</v>
      </c>
      <c r="BV142" s="65">
        <v>20</v>
      </c>
      <c r="BW142" s="65">
        <v>40</v>
      </c>
      <c r="BX142" s="65">
        <v>17</v>
      </c>
      <c r="BY142" s="65">
        <v>14</v>
      </c>
      <c r="BZ142" s="65"/>
      <c r="CA142" s="65"/>
      <c r="CC142" s="66">
        <v>13</v>
      </c>
      <c r="CD142" s="65">
        <v>10</v>
      </c>
      <c r="CE142" s="65">
        <v>17</v>
      </c>
      <c r="CF142" s="66">
        <v>15</v>
      </c>
      <c r="CG142" s="65">
        <v>10</v>
      </c>
      <c r="CH142" s="65">
        <v>10</v>
      </c>
      <c r="CI142" s="65">
        <v>8</v>
      </c>
      <c r="CJ142" s="65">
        <v>8</v>
      </c>
      <c r="CK142" s="65">
        <v>10</v>
      </c>
      <c r="CL142" s="65">
        <v>8</v>
      </c>
      <c r="CM142" s="65">
        <v>8</v>
      </c>
      <c r="CN142" s="11"/>
      <c r="CO142" s="28">
        <f t="shared" si="2"/>
        <v>10500</v>
      </c>
      <c r="CP142" s="32">
        <f>IF('8030 Ballast Calculator'!D32=2,HLOOKUP('8030 Ballast Calculator'!E30,'8030 Wheel Data Sheet'!$BH$128:$CA$164,15,FALSE),HLOOKUP('8030 Ballast Calculator'!E30,'8030 Wheel Data Sheet'!CC128:CM164,15,FALSE))</f>
        <v>20</v>
      </c>
    </row>
    <row r="143" spans="59:94" ht="12.75">
      <c r="BG143" s="32">
        <f t="shared" si="1"/>
        <v>11000</v>
      </c>
      <c r="BH143" s="32" t="s">
        <v>76</v>
      </c>
      <c r="BI143" s="32" t="s">
        <v>76</v>
      </c>
      <c r="BJ143" s="65" t="s">
        <v>76</v>
      </c>
      <c r="BK143" s="66" t="s">
        <v>76</v>
      </c>
      <c r="BL143" s="65" t="s">
        <v>76</v>
      </c>
      <c r="BM143" s="65" t="s">
        <v>76</v>
      </c>
      <c r="BN143" s="65">
        <v>22</v>
      </c>
      <c r="BO143" s="65">
        <v>21</v>
      </c>
      <c r="BP143" s="65">
        <v>21</v>
      </c>
      <c r="BQ143" s="65">
        <v>16</v>
      </c>
      <c r="BR143" s="65">
        <v>21</v>
      </c>
      <c r="BS143" s="65">
        <v>22</v>
      </c>
      <c r="BT143" s="65">
        <v>22</v>
      </c>
      <c r="BU143" s="65">
        <v>29</v>
      </c>
      <c r="BV143" s="65">
        <v>21</v>
      </c>
      <c r="BW143" s="65">
        <v>44</v>
      </c>
      <c r="BX143" s="65">
        <v>19</v>
      </c>
      <c r="BY143" s="65">
        <v>15</v>
      </c>
      <c r="BZ143" s="65"/>
      <c r="CA143" s="65"/>
      <c r="CC143" s="66">
        <v>14</v>
      </c>
      <c r="CD143" s="65">
        <v>12</v>
      </c>
      <c r="CE143" s="65">
        <v>18</v>
      </c>
      <c r="CF143" s="66">
        <v>16</v>
      </c>
      <c r="CG143" s="65">
        <v>11</v>
      </c>
      <c r="CH143" s="65">
        <v>11</v>
      </c>
      <c r="CI143" s="65">
        <v>9</v>
      </c>
      <c r="CJ143" s="65">
        <v>9</v>
      </c>
      <c r="CK143" s="65">
        <v>12</v>
      </c>
      <c r="CL143" s="65">
        <v>9</v>
      </c>
      <c r="CM143" s="65">
        <v>9</v>
      </c>
      <c r="CN143" s="11"/>
      <c r="CO143" s="28">
        <f t="shared" si="2"/>
        <v>11000</v>
      </c>
      <c r="CP143" s="32">
        <f>IF('8030 Ballast Calculator'!D32=2,HLOOKUP('8030 Ballast Calculator'!E30,'8030 Wheel Data Sheet'!$BH$128:$CA$164,16,FALSE),HLOOKUP('8030 Ballast Calculator'!E30,'8030 Wheel Data Sheet'!CC128:CM164,16,FALSE))</f>
        <v>21</v>
      </c>
    </row>
    <row r="144" spans="59:94" ht="12.75">
      <c r="BG144" s="32">
        <f t="shared" si="1"/>
        <v>11500</v>
      </c>
      <c r="BH144" s="32" t="s">
        <v>76</v>
      </c>
      <c r="BI144" s="32" t="s">
        <v>76</v>
      </c>
      <c r="BJ144" s="65" t="s">
        <v>76</v>
      </c>
      <c r="BK144" s="66" t="s">
        <v>76</v>
      </c>
      <c r="BL144" s="65" t="s">
        <v>76</v>
      </c>
      <c r="BM144" s="65" t="s">
        <v>76</v>
      </c>
      <c r="BN144" s="65">
        <v>24</v>
      </c>
      <c r="BO144" s="65">
        <v>23</v>
      </c>
      <c r="BP144" s="65">
        <v>23</v>
      </c>
      <c r="BQ144" s="65">
        <v>17</v>
      </c>
      <c r="BR144" s="65">
        <v>23</v>
      </c>
      <c r="BS144" s="65">
        <v>24</v>
      </c>
      <c r="BT144" s="65">
        <v>23</v>
      </c>
      <c r="BU144" s="65">
        <v>34</v>
      </c>
      <c r="BV144" s="65">
        <v>23</v>
      </c>
      <c r="BW144" s="65" t="s">
        <v>76</v>
      </c>
      <c r="BX144" s="65">
        <v>20</v>
      </c>
      <c r="BY144" s="65">
        <v>16</v>
      </c>
      <c r="BZ144" s="65"/>
      <c r="CA144" s="65"/>
      <c r="CC144" s="66">
        <v>15</v>
      </c>
      <c r="CD144" s="65">
        <v>13</v>
      </c>
      <c r="CE144" s="65">
        <v>19</v>
      </c>
      <c r="CF144" s="66">
        <v>17</v>
      </c>
      <c r="CG144" s="65">
        <v>12</v>
      </c>
      <c r="CH144" s="65">
        <v>12</v>
      </c>
      <c r="CI144" s="65">
        <v>10</v>
      </c>
      <c r="CJ144" s="65">
        <v>10</v>
      </c>
      <c r="CK144" s="65">
        <v>13</v>
      </c>
      <c r="CL144" s="65">
        <v>10</v>
      </c>
      <c r="CM144" s="65">
        <v>10</v>
      </c>
      <c r="CN144" s="11"/>
      <c r="CO144" s="28">
        <f t="shared" si="2"/>
        <v>11500</v>
      </c>
      <c r="CP144" s="32">
        <f>IF('8030 Ballast Calculator'!D32=2,HLOOKUP('8030 Ballast Calculator'!E30,'8030 Wheel Data Sheet'!$BH$128:$CA$164,17,FALSE),HLOOKUP('8030 Ballast Calculator'!E30,'8030 Wheel Data Sheet'!CC128:CM164,17,FALSE))</f>
        <v>23</v>
      </c>
    </row>
    <row r="145" spans="59:94" ht="12.75">
      <c r="BG145" s="32">
        <f t="shared" si="1"/>
        <v>12000</v>
      </c>
      <c r="BH145" s="32" t="s">
        <v>76</v>
      </c>
      <c r="BI145" s="32" t="s">
        <v>76</v>
      </c>
      <c r="BJ145" s="65" t="s">
        <v>76</v>
      </c>
      <c r="BK145" s="66" t="s">
        <v>76</v>
      </c>
      <c r="BL145" s="65" t="s">
        <v>76</v>
      </c>
      <c r="BM145" s="65" t="s">
        <v>76</v>
      </c>
      <c r="BN145" s="65" t="s">
        <v>76</v>
      </c>
      <c r="BO145" s="65">
        <v>23</v>
      </c>
      <c r="BP145" s="65" t="s">
        <v>76</v>
      </c>
      <c r="BQ145" s="65">
        <v>18</v>
      </c>
      <c r="BR145" s="65">
        <v>23</v>
      </c>
      <c r="BS145" s="65">
        <v>26</v>
      </c>
      <c r="BT145" s="65">
        <v>25</v>
      </c>
      <c r="BU145" s="65" t="s">
        <v>76</v>
      </c>
      <c r="BV145" s="65">
        <v>23</v>
      </c>
      <c r="BW145" s="65" t="s">
        <v>76</v>
      </c>
      <c r="BX145" s="65">
        <v>22</v>
      </c>
      <c r="BY145" s="65">
        <v>17</v>
      </c>
      <c r="BZ145" s="65"/>
      <c r="CA145" s="65"/>
      <c r="CC145" s="66">
        <v>17</v>
      </c>
      <c r="CD145" s="65">
        <v>13</v>
      </c>
      <c r="CE145" s="65">
        <v>20</v>
      </c>
      <c r="CF145" s="66">
        <v>17</v>
      </c>
      <c r="CG145" s="65">
        <v>13</v>
      </c>
      <c r="CH145" s="65">
        <v>13</v>
      </c>
      <c r="CI145" s="65">
        <v>10</v>
      </c>
      <c r="CJ145" s="65">
        <v>10</v>
      </c>
      <c r="CK145" s="65">
        <v>13</v>
      </c>
      <c r="CL145" s="65">
        <v>11</v>
      </c>
      <c r="CM145" s="65">
        <v>10</v>
      </c>
      <c r="CN145" s="11"/>
      <c r="CO145" s="28">
        <f t="shared" si="2"/>
        <v>12000</v>
      </c>
      <c r="CP145" s="32">
        <f>IF('8030 Ballast Calculator'!D32=2,HLOOKUP('8030 Ballast Calculator'!E30,'8030 Wheel Data Sheet'!$BH$128:$CA$164,18,FALSE),HLOOKUP('8030 Ballast Calculator'!E30,'8030 Wheel Data Sheet'!CC128:CM164,18,FALSE))</f>
        <v>23</v>
      </c>
    </row>
    <row r="146" spans="59:94" ht="12.75">
      <c r="BG146" s="32">
        <f t="shared" si="1"/>
        <v>12500</v>
      </c>
      <c r="BH146" s="32" t="s">
        <v>76</v>
      </c>
      <c r="BI146" s="32" t="s">
        <v>76</v>
      </c>
      <c r="BJ146" s="65" t="s">
        <v>76</v>
      </c>
      <c r="BK146" s="66" t="s">
        <v>76</v>
      </c>
      <c r="BL146" s="65" t="s">
        <v>76</v>
      </c>
      <c r="BM146" s="65" t="s">
        <v>76</v>
      </c>
      <c r="BN146" s="65" t="s">
        <v>76</v>
      </c>
      <c r="BO146" s="65">
        <v>28</v>
      </c>
      <c r="BP146" s="65" t="s">
        <v>76</v>
      </c>
      <c r="BQ146" s="65">
        <v>20</v>
      </c>
      <c r="BR146" s="65">
        <v>28</v>
      </c>
      <c r="BS146" s="65">
        <v>28</v>
      </c>
      <c r="BT146" s="65">
        <v>28</v>
      </c>
      <c r="BU146" s="65" t="s">
        <v>76</v>
      </c>
      <c r="BV146" s="65">
        <v>28</v>
      </c>
      <c r="BW146" s="65" t="s">
        <v>76</v>
      </c>
      <c r="BX146" s="65">
        <v>24</v>
      </c>
      <c r="BY146" s="65">
        <v>17</v>
      </c>
      <c r="BZ146" s="65"/>
      <c r="CA146" s="65"/>
      <c r="CC146" s="66">
        <v>18</v>
      </c>
      <c r="CD146" s="65">
        <v>15</v>
      </c>
      <c r="CE146" s="65">
        <v>22</v>
      </c>
      <c r="CF146" s="66">
        <v>19</v>
      </c>
      <c r="CG146" s="65">
        <v>14</v>
      </c>
      <c r="CH146" s="65">
        <v>14</v>
      </c>
      <c r="CI146" s="65">
        <v>11</v>
      </c>
      <c r="CJ146" s="65">
        <v>11</v>
      </c>
      <c r="CK146" s="65">
        <v>15</v>
      </c>
      <c r="CL146" s="65">
        <v>11</v>
      </c>
      <c r="CM146" s="65">
        <v>11</v>
      </c>
      <c r="CN146" s="11"/>
      <c r="CO146" s="28">
        <f t="shared" si="2"/>
        <v>12500</v>
      </c>
      <c r="CP146" s="32">
        <f>IF('8030 Ballast Calculator'!D32=2,HLOOKUP('8030 Ballast Calculator'!E30,'8030 Wheel Data Sheet'!$BH$128:$CA$164,19,FALSE),HLOOKUP('8030 Ballast Calculator'!E30,'8030 Wheel Data Sheet'!CC128:CM164,19,FALSE))</f>
        <v>28</v>
      </c>
    </row>
    <row r="147" spans="59:94" ht="12.75">
      <c r="BG147" s="32">
        <f t="shared" si="1"/>
        <v>13000</v>
      </c>
      <c r="BH147" s="32" t="s">
        <v>76</v>
      </c>
      <c r="BI147" s="32" t="s">
        <v>76</v>
      </c>
      <c r="BJ147" s="65" t="s">
        <v>76</v>
      </c>
      <c r="BK147" s="66" t="s">
        <v>76</v>
      </c>
      <c r="BL147" s="65" t="s">
        <v>76</v>
      </c>
      <c r="BM147" s="65" t="s">
        <v>76</v>
      </c>
      <c r="BN147" s="65" t="s">
        <v>76</v>
      </c>
      <c r="BO147" s="65">
        <v>31</v>
      </c>
      <c r="BP147" s="65" t="s">
        <v>76</v>
      </c>
      <c r="BQ147" s="65">
        <v>21</v>
      </c>
      <c r="BR147" s="65">
        <v>31</v>
      </c>
      <c r="BS147" s="65">
        <v>31</v>
      </c>
      <c r="BT147" s="65">
        <v>31</v>
      </c>
      <c r="BU147" s="65" t="s">
        <v>76</v>
      </c>
      <c r="BV147" s="65">
        <v>31</v>
      </c>
      <c r="BW147" s="65" t="s">
        <v>76</v>
      </c>
      <c r="BX147" s="65">
        <v>26</v>
      </c>
      <c r="BY147" s="65">
        <v>18</v>
      </c>
      <c r="BZ147" s="65"/>
      <c r="CA147" s="65"/>
      <c r="CC147" s="66">
        <v>19</v>
      </c>
      <c r="CD147" s="65">
        <v>16</v>
      </c>
      <c r="CE147" s="65">
        <v>23</v>
      </c>
      <c r="CF147" s="66">
        <v>20</v>
      </c>
      <c r="CG147" s="65">
        <v>15</v>
      </c>
      <c r="CH147" s="65">
        <v>15</v>
      </c>
      <c r="CI147" s="65">
        <v>12</v>
      </c>
      <c r="CJ147" s="65">
        <v>12</v>
      </c>
      <c r="CK147" s="65">
        <v>16</v>
      </c>
      <c r="CL147" s="65">
        <v>12</v>
      </c>
      <c r="CM147" s="65">
        <v>12</v>
      </c>
      <c r="CN147" s="11"/>
      <c r="CO147" s="28">
        <f t="shared" si="2"/>
        <v>13000</v>
      </c>
      <c r="CP147" s="32">
        <f>IF('8030 Ballast Calculator'!D32=2,HLOOKUP('8030 Ballast Calculator'!E30,'8030 Wheel Data Sheet'!$BH$128:$CA$164,20,FALSE),HLOOKUP('8030 Ballast Calculator'!E30,'8030 Wheel Data Sheet'!CC128:CM164,20,FALSE))</f>
        <v>31</v>
      </c>
    </row>
    <row r="148" spans="59:94" ht="12.75">
      <c r="BG148" s="32">
        <f t="shared" si="1"/>
        <v>13500</v>
      </c>
      <c r="BH148" s="32" t="s">
        <v>76</v>
      </c>
      <c r="BI148" s="32" t="s">
        <v>76</v>
      </c>
      <c r="BJ148" s="65" t="s">
        <v>76</v>
      </c>
      <c r="BK148" s="66" t="s">
        <v>76</v>
      </c>
      <c r="BL148" s="65" t="s">
        <v>76</v>
      </c>
      <c r="BM148" s="65" t="s">
        <v>76</v>
      </c>
      <c r="BN148" s="65" t="s">
        <v>76</v>
      </c>
      <c r="BO148" s="65">
        <v>35</v>
      </c>
      <c r="BP148" s="65" t="s">
        <v>76</v>
      </c>
      <c r="BQ148" s="65">
        <v>23</v>
      </c>
      <c r="BR148" s="65">
        <v>35</v>
      </c>
      <c r="BS148" s="65">
        <v>35</v>
      </c>
      <c r="BT148" s="65">
        <v>33</v>
      </c>
      <c r="BU148" s="65" t="s">
        <v>76</v>
      </c>
      <c r="BV148" s="65">
        <v>34</v>
      </c>
      <c r="BW148" s="65" t="s">
        <v>76</v>
      </c>
      <c r="BX148" s="65">
        <v>28</v>
      </c>
      <c r="BY148" s="65">
        <v>19</v>
      </c>
      <c r="BZ148" s="65"/>
      <c r="CA148" s="65"/>
      <c r="CC148" s="66">
        <v>20</v>
      </c>
      <c r="CD148" s="65">
        <v>16</v>
      </c>
      <c r="CE148" s="65">
        <v>25</v>
      </c>
      <c r="CF148" s="66">
        <v>21</v>
      </c>
      <c r="CG148" s="65">
        <v>16</v>
      </c>
      <c r="CH148" s="65">
        <v>16</v>
      </c>
      <c r="CI148" s="65">
        <v>12</v>
      </c>
      <c r="CJ148" s="65">
        <v>12</v>
      </c>
      <c r="CK148" s="65">
        <v>16</v>
      </c>
      <c r="CL148" s="65">
        <v>13</v>
      </c>
      <c r="CM148" s="65">
        <v>13</v>
      </c>
      <c r="CN148" s="11"/>
      <c r="CO148" s="28">
        <f t="shared" si="2"/>
        <v>13500</v>
      </c>
      <c r="CP148" s="32">
        <f>IF('8030 Ballast Calculator'!D32=2,HLOOKUP('8030 Ballast Calculator'!E30,'8030 Wheel Data Sheet'!$BH$128:$CA$164,21,FALSE),HLOOKUP('8030 Ballast Calculator'!E30,'8030 Wheel Data Sheet'!CC128:CM164,21,FALSE))</f>
        <v>34</v>
      </c>
    </row>
    <row r="149" spans="59:94" ht="12.75">
      <c r="BG149" s="32">
        <f t="shared" si="1"/>
        <v>14000</v>
      </c>
      <c r="BH149" s="32" t="s">
        <v>76</v>
      </c>
      <c r="BI149" s="32" t="s">
        <v>76</v>
      </c>
      <c r="BJ149" s="65" t="s">
        <v>76</v>
      </c>
      <c r="BK149" s="66" t="s">
        <v>76</v>
      </c>
      <c r="BL149" s="65" t="s">
        <v>76</v>
      </c>
      <c r="BM149" s="65" t="s">
        <v>76</v>
      </c>
      <c r="BN149" s="65" t="s">
        <v>76</v>
      </c>
      <c r="BO149" s="65" t="s">
        <v>76</v>
      </c>
      <c r="BP149" s="65" t="s">
        <v>76</v>
      </c>
      <c r="BQ149" s="65" t="s">
        <v>76</v>
      </c>
      <c r="BR149" s="65" t="s">
        <v>76</v>
      </c>
      <c r="BS149" s="65">
        <v>39</v>
      </c>
      <c r="BT149" s="65">
        <v>37</v>
      </c>
      <c r="BU149" s="65" t="s">
        <v>76</v>
      </c>
      <c r="BV149" s="65" t="s">
        <v>76</v>
      </c>
      <c r="BW149" s="65" t="s">
        <v>76</v>
      </c>
      <c r="BX149" s="65">
        <v>31</v>
      </c>
      <c r="BY149" s="65">
        <v>20</v>
      </c>
      <c r="BZ149" s="65"/>
      <c r="CA149" s="65"/>
      <c r="CC149" s="66">
        <v>22</v>
      </c>
      <c r="CD149" s="65">
        <v>17</v>
      </c>
      <c r="CE149" s="65">
        <v>27</v>
      </c>
      <c r="CF149" s="66">
        <v>23</v>
      </c>
      <c r="CG149" s="65">
        <v>17</v>
      </c>
      <c r="CH149" s="65">
        <v>17</v>
      </c>
      <c r="CI149" s="65">
        <v>13</v>
      </c>
      <c r="CJ149" s="65">
        <v>13</v>
      </c>
      <c r="CK149" s="65">
        <v>17</v>
      </c>
      <c r="CL149" s="65">
        <v>14</v>
      </c>
      <c r="CM149" s="65">
        <v>13</v>
      </c>
      <c r="CN149" s="11"/>
      <c r="CO149" s="28">
        <f t="shared" si="2"/>
        <v>14000</v>
      </c>
      <c r="CP149" s="32" t="str">
        <f>IF('8030 Ballast Calculator'!D32=2,HLOOKUP('8030 Ballast Calculator'!E30,'8030 Wheel Data Sheet'!$BH$128:$CA$164,22,FALSE),HLOOKUP('8030 Ballast Calculator'!E30,'8030 Wheel Data Sheet'!CC128:CM164,22,FALSE))</f>
        <v>-</v>
      </c>
    </row>
    <row r="150" spans="59:94" ht="12.75">
      <c r="BG150" s="32">
        <f t="shared" si="1"/>
        <v>14500</v>
      </c>
      <c r="BH150" s="32" t="s">
        <v>76</v>
      </c>
      <c r="BI150" s="32" t="s">
        <v>76</v>
      </c>
      <c r="BJ150" s="65" t="s">
        <v>76</v>
      </c>
      <c r="BK150" s="66" t="s">
        <v>76</v>
      </c>
      <c r="BL150" s="65" t="s">
        <v>76</v>
      </c>
      <c r="BM150" s="65" t="s">
        <v>76</v>
      </c>
      <c r="BN150" s="65" t="s">
        <v>76</v>
      </c>
      <c r="BO150" s="65" t="s">
        <v>76</v>
      </c>
      <c r="BP150" s="65" t="s">
        <v>76</v>
      </c>
      <c r="BQ150" s="65" t="s">
        <v>76</v>
      </c>
      <c r="BR150" s="65" t="s">
        <v>76</v>
      </c>
      <c r="BS150" s="65">
        <v>40</v>
      </c>
      <c r="BT150" s="65">
        <v>39</v>
      </c>
      <c r="BU150" s="65" t="s">
        <v>76</v>
      </c>
      <c r="BV150" s="65" t="s">
        <v>76</v>
      </c>
      <c r="BW150" s="65" t="s">
        <v>76</v>
      </c>
      <c r="BX150" s="65">
        <v>33</v>
      </c>
      <c r="BY150" s="65">
        <v>21</v>
      </c>
      <c r="BZ150" s="65"/>
      <c r="CA150" s="65"/>
      <c r="CC150" s="66">
        <v>23</v>
      </c>
      <c r="CD150" s="65">
        <v>18</v>
      </c>
      <c r="CE150" s="65">
        <v>31</v>
      </c>
      <c r="CF150" s="66">
        <v>24</v>
      </c>
      <c r="CG150" s="65">
        <v>18</v>
      </c>
      <c r="CH150" s="65">
        <v>18</v>
      </c>
      <c r="CI150" s="65">
        <v>14</v>
      </c>
      <c r="CJ150" s="65">
        <v>14</v>
      </c>
      <c r="CK150" s="65">
        <v>17</v>
      </c>
      <c r="CL150" s="65">
        <v>15</v>
      </c>
      <c r="CM150" s="65">
        <v>14</v>
      </c>
      <c r="CN150" s="11"/>
      <c r="CO150" s="28">
        <f t="shared" si="2"/>
        <v>14500</v>
      </c>
      <c r="CP150" s="32" t="str">
        <f>IF('8030 Ballast Calculator'!D32=2,HLOOKUP('8030 Ballast Calculator'!E30,'8030 Wheel Data Sheet'!$BH$128:$CA$164,23,FALSE),HLOOKUP('8030 Ballast Calculator'!E30,'8030 Wheel Data Sheet'!CC128:CM164,23,FALSE))</f>
        <v>-</v>
      </c>
    </row>
    <row r="151" spans="59:94" ht="12.75">
      <c r="BG151" s="32">
        <f t="shared" si="1"/>
        <v>15000</v>
      </c>
      <c r="BH151" s="32" t="s">
        <v>76</v>
      </c>
      <c r="BI151" s="32" t="s">
        <v>76</v>
      </c>
      <c r="BJ151" s="65" t="s">
        <v>76</v>
      </c>
      <c r="BK151" s="66" t="s">
        <v>76</v>
      </c>
      <c r="BL151" s="65" t="s">
        <v>76</v>
      </c>
      <c r="BM151" s="65" t="s">
        <v>76</v>
      </c>
      <c r="BN151" s="65" t="s">
        <v>76</v>
      </c>
      <c r="BO151" s="65" t="s">
        <v>76</v>
      </c>
      <c r="BP151" s="65" t="s">
        <v>76</v>
      </c>
      <c r="BQ151" s="65" t="s">
        <v>76</v>
      </c>
      <c r="BR151" s="65" t="s">
        <v>76</v>
      </c>
      <c r="BS151" s="65">
        <v>43</v>
      </c>
      <c r="BT151" s="65">
        <v>41</v>
      </c>
      <c r="BU151" s="65" t="s">
        <v>76</v>
      </c>
      <c r="BV151" s="65" t="s">
        <v>76</v>
      </c>
      <c r="BW151" s="65" t="s">
        <v>76</v>
      </c>
      <c r="BX151" s="65">
        <v>35</v>
      </c>
      <c r="BY151" s="65">
        <v>23</v>
      </c>
      <c r="BZ151" s="65"/>
      <c r="CA151" s="65"/>
      <c r="CC151" s="66">
        <v>24</v>
      </c>
      <c r="CD151" s="65">
        <v>19</v>
      </c>
      <c r="CE151" s="65">
        <v>34</v>
      </c>
      <c r="CF151" s="66">
        <v>26</v>
      </c>
      <c r="CG151" s="65">
        <v>19</v>
      </c>
      <c r="CH151" s="65">
        <v>19</v>
      </c>
      <c r="CI151" s="65">
        <v>15</v>
      </c>
      <c r="CJ151" s="65">
        <v>15</v>
      </c>
      <c r="CK151" s="65">
        <v>18</v>
      </c>
      <c r="CL151" s="65">
        <v>15</v>
      </c>
      <c r="CM151" s="65">
        <v>16</v>
      </c>
      <c r="CN151" s="11"/>
      <c r="CO151" s="28">
        <f t="shared" si="2"/>
        <v>15000</v>
      </c>
      <c r="CP151" s="32" t="str">
        <f>IF('8030 Ballast Calculator'!D32=2,HLOOKUP('8030 Ballast Calculator'!E30,'8030 Wheel Data Sheet'!$BH$128:$CA$164,24,FALSE),HLOOKUP('8030 Ballast Calculator'!E30,'8030 Wheel Data Sheet'!CC128:CM164,24,FALSE))</f>
        <v>-</v>
      </c>
    </row>
    <row r="152" spans="59:94" ht="12.75">
      <c r="BG152" s="32">
        <f t="shared" si="1"/>
        <v>15500</v>
      </c>
      <c r="BH152" s="32" t="s">
        <v>76</v>
      </c>
      <c r="BI152" s="32" t="s">
        <v>76</v>
      </c>
      <c r="BJ152" s="65" t="s">
        <v>76</v>
      </c>
      <c r="BK152" s="66" t="s">
        <v>76</v>
      </c>
      <c r="BL152" s="65" t="s">
        <v>76</v>
      </c>
      <c r="BM152" s="65" t="s">
        <v>76</v>
      </c>
      <c r="BN152" s="65" t="s">
        <v>76</v>
      </c>
      <c r="BO152" s="65" t="s">
        <v>76</v>
      </c>
      <c r="BP152" s="65" t="s">
        <v>76</v>
      </c>
      <c r="BQ152" s="65" t="s">
        <v>76</v>
      </c>
      <c r="BR152" s="65" t="s">
        <v>76</v>
      </c>
      <c r="BS152" s="65">
        <v>46</v>
      </c>
      <c r="BT152" s="65">
        <v>44</v>
      </c>
      <c r="BU152" s="65" t="s">
        <v>76</v>
      </c>
      <c r="BV152" s="65" t="s">
        <v>76</v>
      </c>
      <c r="BW152" s="65" t="s">
        <v>76</v>
      </c>
      <c r="BX152" s="65" t="s">
        <v>76</v>
      </c>
      <c r="BY152" s="65" t="s">
        <v>76</v>
      </c>
      <c r="BZ152" s="65"/>
      <c r="CA152" s="65"/>
      <c r="CC152" s="66">
        <v>25</v>
      </c>
      <c r="CD152" s="65">
        <v>20</v>
      </c>
      <c r="CE152" s="65">
        <v>36</v>
      </c>
      <c r="CF152" s="66">
        <v>28</v>
      </c>
      <c r="CG152" s="65">
        <v>21</v>
      </c>
      <c r="CH152" s="65">
        <v>21</v>
      </c>
      <c r="CI152" s="65">
        <v>16</v>
      </c>
      <c r="CJ152" s="65">
        <v>16</v>
      </c>
      <c r="CK152" s="65">
        <v>19</v>
      </c>
      <c r="CL152" s="65">
        <v>16</v>
      </c>
      <c r="CM152" s="65">
        <v>16</v>
      </c>
      <c r="CN152" s="11"/>
      <c r="CO152" s="28">
        <f t="shared" si="2"/>
        <v>15500</v>
      </c>
      <c r="CP152" s="32" t="str">
        <f>IF('8030 Ballast Calculator'!D32=2,HLOOKUP('8030 Ballast Calculator'!E30,'8030 Wheel Data Sheet'!$BH$128:$CA$164,25,FALSE),HLOOKUP('8030 Ballast Calculator'!E30,'8030 Wheel Data Sheet'!CC128:CM164,25,FALSE))</f>
        <v>-</v>
      </c>
    </row>
    <row r="153" spans="59:94" ht="12.75">
      <c r="BG153" s="32">
        <f t="shared" si="1"/>
        <v>16000</v>
      </c>
      <c r="BH153" s="32" t="s">
        <v>76</v>
      </c>
      <c r="BI153" s="32" t="s">
        <v>76</v>
      </c>
      <c r="BJ153" s="65" t="s">
        <v>76</v>
      </c>
      <c r="BK153" s="66" t="s">
        <v>76</v>
      </c>
      <c r="BL153" s="65" t="s">
        <v>76</v>
      </c>
      <c r="BM153" s="65" t="s">
        <v>76</v>
      </c>
      <c r="BN153" s="65" t="s">
        <v>76</v>
      </c>
      <c r="BO153" s="65" t="s">
        <v>76</v>
      </c>
      <c r="BP153" s="65" t="s">
        <v>76</v>
      </c>
      <c r="BQ153" s="65" t="s">
        <v>76</v>
      </c>
      <c r="BR153" s="65" t="s">
        <v>76</v>
      </c>
      <c r="BS153" s="65" t="s">
        <v>76</v>
      </c>
      <c r="BT153" s="65">
        <v>45</v>
      </c>
      <c r="BU153" s="65" t="s">
        <v>76</v>
      </c>
      <c r="BV153" s="65" t="s">
        <v>76</v>
      </c>
      <c r="BW153" s="65" t="s">
        <v>76</v>
      </c>
      <c r="BX153" s="65" t="s">
        <v>76</v>
      </c>
      <c r="BY153" s="65" t="s">
        <v>76</v>
      </c>
      <c r="BZ153" s="65"/>
      <c r="CA153" s="65"/>
      <c r="CC153" s="66">
        <v>27</v>
      </c>
      <c r="CD153" s="65">
        <v>21</v>
      </c>
      <c r="CE153" s="65">
        <v>39</v>
      </c>
      <c r="CF153" s="66">
        <v>30</v>
      </c>
      <c r="CG153" s="65">
        <v>22</v>
      </c>
      <c r="CH153" s="65">
        <v>22</v>
      </c>
      <c r="CI153" s="65">
        <v>17</v>
      </c>
      <c r="CJ153" s="65">
        <v>17</v>
      </c>
      <c r="CK153" s="65">
        <v>21</v>
      </c>
      <c r="CL153" s="65">
        <v>16</v>
      </c>
      <c r="CM153" s="65">
        <v>17</v>
      </c>
      <c r="CN153" s="11"/>
      <c r="CO153" s="28">
        <f t="shared" si="2"/>
        <v>16000</v>
      </c>
      <c r="CP153" s="32" t="str">
        <f>IF('8030 Ballast Calculator'!D32=2,HLOOKUP('8030 Ballast Calculator'!E30,'8030 Wheel Data Sheet'!$BH$128:$CA$164,26,FALSE),HLOOKUP('8030 Ballast Calculator'!E30,'8030 Wheel Data Sheet'!CC128:CM164,26,FALSE))</f>
        <v>-</v>
      </c>
    </row>
    <row r="154" spans="59:94" ht="12.75">
      <c r="BG154" s="32">
        <f t="shared" si="1"/>
        <v>16500</v>
      </c>
      <c r="BH154" s="32" t="s">
        <v>76</v>
      </c>
      <c r="BI154" s="32" t="s">
        <v>76</v>
      </c>
      <c r="BJ154" s="65" t="s">
        <v>76</v>
      </c>
      <c r="BK154" s="66" t="s">
        <v>76</v>
      </c>
      <c r="BL154" s="65" t="s">
        <v>76</v>
      </c>
      <c r="BM154" s="65" t="s">
        <v>76</v>
      </c>
      <c r="BN154" s="65" t="s">
        <v>76</v>
      </c>
      <c r="BO154" s="65" t="s">
        <v>76</v>
      </c>
      <c r="BP154" s="65" t="s">
        <v>76</v>
      </c>
      <c r="BQ154" s="65" t="s">
        <v>76</v>
      </c>
      <c r="BR154" s="65" t="s">
        <v>76</v>
      </c>
      <c r="BS154" s="65" t="s">
        <v>76</v>
      </c>
      <c r="BT154" s="65">
        <v>46</v>
      </c>
      <c r="BU154" s="65" t="s">
        <v>76</v>
      </c>
      <c r="BV154" s="65" t="s">
        <v>76</v>
      </c>
      <c r="BW154" s="65" t="s">
        <v>76</v>
      </c>
      <c r="BX154" s="65" t="s">
        <v>76</v>
      </c>
      <c r="BY154" s="65" t="s">
        <v>76</v>
      </c>
      <c r="BZ154" s="65"/>
      <c r="CA154" s="65"/>
      <c r="CC154" s="66">
        <v>29</v>
      </c>
      <c r="CD154" s="65">
        <v>21</v>
      </c>
      <c r="CE154" s="65">
        <v>40</v>
      </c>
      <c r="CF154" s="66">
        <v>33</v>
      </c>
      <c r="CG154" s="65">
        <v>23</v>
      </c>
      <c r="CH154" s="65">
        <v>23</v>
      </c>
      <c r="CI154" s="65">
        <v>18</v>
      </c>
      <c r="CJ154" s="65">
        <v>18</v>
      </c>
      <c r="CK154" s="65">
        <v>21</v>
      </c>
      <c r="CL154" s="65">
        <v>17</v>
      </c>
      <c r="CM154" s="65">
        <v>17</v>
      </c>
      <c r="CN154" s="11"/>
      <c r="CO154" s="28">
        <f t="shared" si="2"/>
        <v>16500</v>
      </c>
      <c r="CP154" s="32" t="str">
        <f>IF('8030 Ballast Calculator'!D32=2,HLOOKUP('8030 Ballast Calculator'!E30,'8030 Wheel Data Sheet'!$BH$128:$CA$164,27,FALSE),HLOOKUP('8030 Ballast Calculator'!E30,'8030 Wheel Data Sheet'!CC128:CM164,27,FALSE))</f>
        <v>-</v>
      </c>
    </row>
    <row r="155" spans="59:94" ht="12.75">
      <c r="BG155" s="32">
        <f t="shared" si="1"/>
        <v>17000</v>
      </c>
      <c r="BH155" s="32" t="s">
        <v>76</v>
      </c>
      <c r="BI155" s="32" t="s">
        <v>76</v>
      </c>
      <c r="BJ155" s="65" t="s">
        <v>76</v>
      </c>
      <c r="BK155" s="65" t="s">
        <v>76</v>
      </c>
      <c r="BL155" s="65" t="s">
        <v>76</v>
      </c>
      <c r="BM155" s="65" t="s">
        <v>76</v>
      </c>
      <c r="BN155" s="65" t="s">
        <v>76</v>
      </c>
      <c r="BO155" s="65" t="s">
        <v>76</v>
      </c>
      <c r="BP155" s="65" t="s">
        <v>76</v>
      </c>
      <c r="BQ155" s="65" t="s">
        <v>76</v>
      </c>
      <c r="BR155" s="65" t="s">
        <v>76</v>
      </c>
      <c r="BS155" s="65" t="s">
        <v>76</v>
      </c>
      <c r="BT155" s="65" t="s">
        <v>76</v>
      </c>
      <c r="BU155" s="65" t="s">
        <v>76</v>
      </c>
      <c r="BV155" s="65" t="s">
        <v>76</v>
      </c>
      <c r="BW155" s="65" t="s">
        <v>76</v>
      </c>
      <c r="BX155" s="65" t="s">
        <v>76</v>
      </c>
      <c r="BY155" s="65" t="s">
        <v>76</v>
      </c>
      <c r="BZ155" s="65"/>
      <c r="CA155" s="65"/>
      <c r="CC155" s="65">
        <v>30</v>
      </c>
      <c r="CD155" s="65">
        <v>22</v>
      </c>
      <c r="CE155" s="65">
        <v>42</v>
      </c>
      <c r="CF155" s="65">
        <v>36</v>
      </c>
      <c r="CG155" s="65">
        <v>23</v>
      </c>
      <c r="CH155" s="65">
        <v>23</v>
      </c>
      <c r="CI155" s="65">
        <v>19</v>
      </c>
      <c r="CJ155" s="65">
        <v>19</v>
      </c>
      <c r="CK155" s="65">
        <v>22</v>
      </c>
      <c r="CL155" s="65">
        <v>18</v>
      </c>
      <c r="CM155" s="65">
        <v>18</v>
      </c>
      <c r="CN155" s="11"/>
      <c r="CO155" s="28">
        <f t="shared" si="2"/>
        <v>17000</v>
      </c>
      <c r="CP155" s="32" t="str">
        <f>IF('8030 Ballast Calculator'!D32=2,HLOOKUP('8030 Ballast Calculator'!E30,'8030 Wheel Data Sheet'!$BH$128:$CA$164,28,FALSE),HLOOKUP('8030 Ballast Calculator'!E30,'8030 Wheel Data Sheet'!CC128:CM164,28,FALSE))</f>
        <v>-</v>
      </c>
    </row>
    <row r="156" spans="59:94" ht="12.75">
      <c r="BG156" s="32">
        <f t="shared" si="1"/>
        <v>17500</v>
      </c>
      <c r="BH156" s="32" t="s">
        <v>76</v>
      </c>
      <c r="BI156" s="32" t="s">
        <v>76</v>
      </c>
      <c r="BJ156" s="65" t="s">
        <v>76</v>
      </c>
      <c r="BK156" s="65" t="s">
        <v>76</v>
      </c>
      <c r="BL156" s="65" t="s">
        <v>76</v>
      </c>
      <c r="BM156" s="65" t="s">
        <v>76</v>
      </c>
      <c r="BN156" s="65" t="s">
        <v>76</v>
      </c>
      <c r="BO156" s="65" t="s">
        <v>76</v>
      </c>
      <c r="BP156" s="65" t="s">
        <v>76</v>
      </c>
      <c r="BQ156" s="65" t="s">
        <v>76</v>
      </c>
      <c r="BR156" s="65" t="s">
        <v>76</v>
      </c>
      <c r="BS156" s="65" t="s">
        <v>76</v>
      </c>
      <c r="BT156" s="65" t="s">
        <v>76</v>
      </c>
      <c r="BU156" s="65" t="s">
        <v>76</v>
      </c>
      <c r="BV156" s="65" t="s">
        <v>76</v>
      </c>
      <c r="BW156" s="65" t="s">
        <v>76</v>
      </c>
      <c r="BX156" s="65" t="s">
        <v>76</v>
      </c>
      <c r="BY156" s="65" t="s">
        <v>76</v>
      </c>
      <c r="BZ156" s="65"/>
      <c r="CA156" s="65"/>
      <c r="CC156" s="65" t="s">
        <v>76</v>
      </c>
      <c r="CD156" s="65">
        <v>23</v>
      </c>
      <c r="CE156" s="65">
        <v>45</v>
      </c>
      <c r="CF156" s="65">
        <v>37</v>
      </c>
      <c r="CG156" s="65">
        <v>24</v>
      </c>
      <c r="CH156" s="65">
        <v>24</v>
      </c>
      <c r="CI156" s="65">
        <v>19</v>
      </c>
      <c r="CJ156" s="65">
        <v>19</v>
      </c>
      <c r="CK156" s="65">
        <v>23</v>
      </c>
      <c r="CL156" s="65">
        <v>18</v>
      </c>
      <c r="CM156" s="65">
        <v>18</v>
      </c>
      <c r="CN156" s="11"/>
      <c r="CO156" s="28">
        <f t="shared" si="2"/>
        <v>17500</v>
      </c>
      <c r="CP156" s="32" t="str">
        <f>IF('8030 Ballast Calculator'!D32=2,HLOOKUP('8030 Ballast Calculator'!E30,'8030 Wheel Data Sheet'!$BH$128:$CA$164,29,FALSE),HLOOKUP('8030 Ballast Calculator'!E30,'8030 Wheel Data Sheet'!CC128:CM164,29,FALSE))</f>
        <v>-</v>
      </c>
    </row>
    <row r="157" spans="59:94" ht="12.75">
      <c r="BG157" s="32">
        <f t="shared" si="1"/>
        <v>18000</v>
      </c>
      <c r="BH157" s="32" t="s">
        <v>76</v>
      </c>
      <c r="BI157" s="32" t="s">
        <v>76</v>
      </c>
      <c r="BJ157" s="65" t="s">
        <v>76</v>
      </c>
      <c r="BK157" s="65" t="s">
        <v>76</v>
      </c>
      <c r="BL157" s="65" t="s">
        <v>76</v>
      </c>
      <c r="BM157" s="65" t="s">
        <v>76</v>
      </c>
      <c r="BN157" s="65" t="s">
        <v>76</v>
      </c>
      <c r="BO157" s="65" t="s">
        <v>76</v>
      </c>
      <c r="BP157" s="65" t="s">
        <v>76</v>
      </c>
      <c r="BQ157" s="65" t="s">
        <v>76</v>
      </c>
      <c r="BR157" s="65" t="s">
        <v>76</v>
      </c>
      <c r="BS157" s="65" t="s">
        <v>76</v>
      </c>
      <c r="BT157" s="65" t="s">
        <v>76</v>
      </c>
      <c r="BU157" s="65" t="s">
        <v>76</v>
      </c>
      <c r="BV157" s="65" t="s">
        <v>76</v>
      </c>
      <c r="BW157" s="65" t="s">
        <v>76</v>
      </c>
      <c r="BX157" s="65" t="s">
        <v>76</v>
      </c>
      <c r="BY157" s="65" t="s">
        <v>76</v>
      </c>
      <c r="BZ157" s="65"/>
      <c r="CA157" s="65"/>
      <c r="CC157" s="65" t="s">
        <v>76</v>
      </c>
      <c r="CD157" s="65">
        <v>23</v>
      </c>
      <c r="CE157" s="65">
        <v>46</v>
      </c>
      <c r="CF157" s="65">
        <v>39</v>
      </c>
      <c r="CG157" s="65">
        <v>25</v>
      </c>
      <c r="CH157" s="65">
        <v>25</v>
      </c>
      <c r="CI157" s="65">
        <v>20</v>
      </c>
      <c r="CJ157" s="65">
        <v>20</v>
      </c>
      <c r="CK157" s="65">
        <v>24</v>
      </c>
      <c r="CL157" s="65">
        <v>19</v>
      </c>
      <c r="CM157" s="65">
        <v>19</v>
      </c>
      <c r="CN157" s="11"/>
      <c r="CO157" s="28">
        <f t="shared" si="2"/>
        <v>18000</v>
      </c>
      <c r="CP157" s="32" t="str">
        <f>IF('8030 Ballast Calculator'!D32=2,HLOOKUP('8030 Ballast Calculator'!E30,'8030 Wheel Data Sheet'!$BH$128:$CA$164,30,FALSE),HLOOKUP('8030 Ballast Calculator'!E30,'8030 Wheel Data Sheet'!CC128:CM164,30,FALSE))</f>
        <v>-</v>
      </c>
    </row>
    <row r="158" spans="59:94" ht="12.75">
      <c r="BG158" s="32">
        <f t="shared" si="1"/>
        <v>18500</v>
      </c>
      <c r="BH158" s="32" t="s">
        <v>76</v>
      </c>
      <c r="BI158" s="32" t="s">
        <v>76</v>
      </c>
      <c r="BJ158" s="65" t="s">
        <v>76</v>
      </c>
      <c r="BK158" s="65" t="s">
        <v>76</v>
      </c>
      <c r="BL158" s="65" t="s">
        <v>76</v>
      </c>
      <c r="BM158" s="65" t="s">
        <v>76</v>
      </c>
      <c r="BN158" s="65" t="s">
        <v>76</v>
      </c>
      <c r="BO158" s="65" t="s">
        <v>76</v>
      </c>
      <c r="BP158" s="65" t="s">
        <v>76</v>
      </c>
      <c r="BQ158" s="65" t="s">
        <v>76</v>
      </c>
      <c r="BR158" s="65" t="s">
        <v>76</v>
      </c>
      <c r="BS158" s="65" t="s">
        <v>76</v>
      </c>
      <c r="BT158" s="65" t="s">
        <v>76</v>
      </c>
      <c r="BU158" s="65" t="s">
        <v>76</v>
      </c>
      <c r="BV158" s="65" t="s">
        <v>76</v>
      </c>
      <c r="BW158" s="65" t="s">
        <v>76</v>
      </c>
      <c r="BX158" s="65" t="s">
        <v>76</v>
      </c>
      <c r="BY158" s="65" t="s">
        <v>76</v>
      </c>
      <c r="BZ158" s="65"/>
      <c r="CA158" s="65"/>
      <c r="CC158" s="65" t="s">
        <v>76</v>
      </c>
      <c r="CD158" s="65" t="s">
        <v>76</v>
      </c>
      <c r="CE158" s="65" t="s">
        <v>76</v>
      </c>
      <c r="CF158" s="65" t="s">
        <v>76</v>
      </c>
      <c r="CG158" s="65">
        <v>27</v>
      </c>
      <c r="CH158" s="65">
        <v>27</v>
      </c>
      <c r="CI158" s="65">
        <v>21</v>
      </c>
      <c r="CJ158" s="65">
        <v>21</v>
      </c>
      <c r="CK158" s="65">
        <v>25</v>
      </c>
      <c r="CL158" s="65">
        <v>20</v>
      </c>
      <c r="CM158" s="65">
        <v>20</v>
      </c>
      <c r="CN158" s="11"/>
      <c r="CO158" s="28">
        <f t="shared" si="2"/>
        <v>18500</v>
      </c>
      <c r="CP158" s="32" t="str">
        <f>IF('8030 Ballast Calculator'!D32=2,HLOOKUP('8030 Ballast Calculator'!E30,'8030 Wheel Data Sheet'!$BH$128:$CA$164,31,FALSE),HLOOKUP('8030 Ballast Calculator'!E30,'8030 Wheel Data Sheet'!CC128:CM164,31,FALSE))</f>
        <v>-</v>
      </c>
    </row>
    <row r="159" spans="59:94" ht="12.75">
      <c r="BG159" s="32">
        <f t="shared" si="1"/>
        <v>19000</v>
      </c>
      <c r="BH159" s="32" t="s">
        <v>76</v>
      </c>
      <c r="BI159" s="32" t="s">
        <v>76</v>
      </c>
      <c r="BJ159" s="65" t="s">
        <v>76</v>
      </c>
      <c r="BK159" s="65" t="s">
        <v>76</v>
      </c>
      <c r="BL159" s="65" t="s">
        <v>76</v>
      </c>
      <c r="BM159" s="65" t="s">
        <v>76</v>
      </c>
      <c r="BN159" s="65" t="s">
        <v>76</v>
      </c>
      <c r="BO159" s="65" t="s">
        <v>76</v>
      </c>
      <c r="BP159" s="65" t="s">
        <v>76</v>
      </c>
      <c r="BQ159" s="65" t="s">
        <v>76</v>
      </c>
      <c r="BR159" s="65" t="s">
        <v>76</v>
      </c>
      <c r="BS159" s="65" t="s">
        <v>76</v>
      </c>
      <c r="BT159" s="65" t="s">
        <v>76</v>
      </c>
      <c r="BU159" s="65" t="s">
        <v>76</v>
      </c>
      <c r="BV159" s="65" t="s">
        <v>76</v>
      </c>
      <c r="BW159" s="65" t="s">
        <v>76</v>
      </c>
      <c r="BX159" s="65" t="s">
        <v>76</v>
      </c>
      <c r="BY159" s="65" t="s">
        <v>76</v>
      </c>
      <c r="BZ159" s="65"/>
      <c r="CA159" s="65"/>
      <c r="CC159" s="65" t="s">
        <v>76</v>
      </c>
      <c r="CD159" s="65" t="s">
        <v>76</v>
      </c>
      <c r="CE159" s="65" t="s">
        <v>76</v>
      </c>
      <c r="CF159" s="65" t="s">
        <v>76</v>
      </c>
      <c r="CG159" s="65">
        <v>29</v>
      </c>
      <c r="CH159" s="65">
        <v>29</v>
      </c>
      <c r="CI159" s="65">
        <v>22</v>
      </c>
      <c r="CJ159" s="65">
        <v>22</v>
      </c>
      <c r="CK159" s="65">
        <v>27</v>
      </c>
      <c r="CL159" s="65">
        <v>21</v>
      </c>
      <c r="CM159" s="65">
        <v>21</v>
      </c>
      <c r="CN159" s="11"/>
      <c r="CO159" s="28">
        <f t="shared" si="2"/>
        <v>19000</v>
      </c>
      <c r="CP159" s="32" t="str">
        <f>IF('8030 Ballast Calculator'!D32=2,HLOOKUP('8030 Ballast Calculator'!E30,'8030 Wheel Data Sheet'!$BH$128:$CA$164,32,FALSE),HLOOKUP('8030 Ballast Calculator'!E30,'8030 Wheel Data Sheet'!CC128:CM164,32,FALSE))</f>
        <v>-</v>
      </c>
    </row>
    <row r="160" spans="59:94" ht="12.75">
      <c r="BG160" s="32">
        <f t="shared" si="1"/>
        <v>19500</v>
      </c>
      <c r="BH160" s="32" t="s">
        <v>76</v>
      </c>
      <c r="BI160" s="32" t="s">
        <v>76</v>
      </c>
      <c r="BJ160" s="65" t="s">
        <v>76</v>
      </c>
      <c r="BK160" s="65" t="s">
        <v>76</v>
      </c>
      <c r="BL160" s="65" t="s">
        <v>76</v>
      </c>
      <c r="BM160" s="65" t="s">
        <v>76</v>
      </c>
      <c r="BN160" s="65" t="s">
        <v>76</v>
      </c>
      <c r="BO160" s="65" t="s">
        <v>76</v>
      </c>
      <c r="BP160" s="65" t="s">
        <v>76</v>
      </c>
      <c r="BQ160" s="65" t="s">
        <v>76</v>
      </c>
      <c r="BR160" s="65" t="s">
        <v>76</v>
      </c>
      <c r="BS160" s="65" t="s">
        <v>76</v>
      </c>
      <c r="BT160" s="65" t="s">
        <v>76</v>
      </c>
      <c r="BU160" s="65" t="s">
        <v>76</v>
      </c>
      <c r="BV160" s="65" t="s">
        <v>76</v>
      </c>
      <c r="BW160" s="65" t="s">
        <v>76</v>
      </c>
      <c r="BX160" s="65" t="s">
        <v>76</v>
      </c>
      <c r="BY160" s="65" t="s">
        <v>76</v>
      </c>
      <c r="BZ160" s="65"/>
      <c r="CA160" s="65"/>
      <c r="CC160" s="65" t="s">
        <v>76</v>
      </c>
      <c r="CD160" s="65" t="s">
        <v>76</v>
      </c>
      <c r="CE160" s="65" t="s">
        <v>76</v>
      </c>
      <c r="CF160" s="65" t="s">
        <v>76</v>
      </c>
      <c r="CG160" s="65">
        <v>30</v>
      </c>
      <c r="CH160" s="65">
        <v>30</v>
      </c>
      <c r="CI160" s="65">
        <v>23</v>
      </c>
      <c r="CJ160" s="65">
        <v>23</v>
      </c>
      <c r="CK160" s="65">
        <v>30</v>
      </c>
      <c r="CL160" s="65">
        <v>22</v>
      </c>
      <c r="CM160" s="65">
        <v>22</v>
      </c>
      <c r="CN160" s="11"/>
      <c r="CO160" s="28">
        <f t="shared" si="2"/>
        <v>19500</v>
      </c>
      <c r="CP160" s="32" t="str">
        <f>IF('8030 Ballast Calculator'!D32=2,HLOOKUP('8030 Ballast Calculator'!E30,'8030 Wheel Data Sheet'!$BH$128:$CA$164,33,FALSE),HLOOKUP('8030 Ballast Calculator'!E30,'8030 Wheel Data Sheet'!CC128:CM164,33,FALSE))</f>
        <v>-</v>
      </c>
    </row>
    <row r="161" spans="59:94" ht="12.75">
      <c r="BG161" s="32">
        <f t="shared" si="1"/>
        <v>20000</v>
      </c>
      <c r="BH161" s="32" t="s">
        <v>76</v>
      </c>
      <c r="BI161" s="32" t="s">
        <v>76</v>
      </c>
      <c r="BJ161" s="65" t="s">
        <v>76</v>
      </c>
      <c r="BK161" s="65" t="s">
        <v>76</v>
      </c>
      <c r="BL161" s="65" t="s">
        <v>76</v>
      </c>
      <c r="BM161" s="65" t="s">
        <v>76</v>
      </c>
      <c r="BN161" s="65" t="s">
        <v>76</v>
      </c>
      <c r="BO161" s="65" t="s">
        <v>76</v>
      </c>
      <c r="BP161" s="65" t="s">
        <v>76</v>
      </c>
      <c r="BQ161" s="65" t="s">
        <v>76</v>
      </c>
      <c r="BR161" s="65" t="s">
        <v>76</v>
      </c>
      <c r="BS161" s="65" t="s">
        <v>76</v>
      </c>
      <c r="BT161" s="65" t="s">
        <v>76</v>
      </c>
      <c r="BU161" s="65" t="s">
        <v>76</v>
      </c>
      <c r="BV161" s="65" t="s">
        <v>76</v>
      </c>
      <c r="BW161" s="65" t="s">
        <v>76</v>
      </c>
      <c r="BX161" s="65" t="s">
        <v>76</v>
      </c>
      <c r="BY161" s="65" t="s">
        <v>76</v>
      </c>
      <c r="BZ161" s="65"/>
      <c r="CA161" s="65"/>
      <c r="CC161" s="65" t="s">
        <v>76</v>
      </c>
      <c r="CD161" s="65" t="s">
        <v>76</v>
      </c>
      <c r="CE161" s="65" t="s">
        <v>76</v>
      </c>
      <c r="CF161" s="65" t="s">
        <v>76</v>
      </c>
      <c r="CG161" s="65">
        <v>31</v>
      </c>
      <c r="CH161" s="65">
        <v>31</v>
      </c>
      <c r="CI161" s="65">
        <v>24</v>
      </c>
      <c r="CJ161" s="65">
        <v>24</v>
      </c>
      <c r="CK161" s="65">
        <v>33</v>
      </c>
      <c r="CL161" s="65">
        <v>23</v>
      </c>
      <c r="CM161" s="65">
        <v>23</v>
      </c>
      <c r="CN161" s="11"/>
      <c r="CO161" s="28">
        <f t="shared" si="2"/>
        <v>20000</v>
      </c>
      <c r="CP161" s="32" t="str">
        <f>IF('8030 Ballast Calculator'!D32=2,HLOOKUP('8030 Ballast Calculator'!E30,'8030 Wheel Data Sheet'!$BH$128:$CA$164,34,FALSE),HLOOKUP('8030 Ballast Calculator'!E30,'8030 Wheel Data Sheet'!CC128:CM164,34,FALSE))</f>
        <v>-</v>
      </c>
    </row>
    <row r="162" spans="59:94" ht="12.75">
      <c r="BG162" s="32">
        <f t="shared" si="1"/>
        <v>20500</v>
      </c>
      <c r="BH162" s="32" t="s">
        <v>76</v>
      </c>
      <c r="BI162" s="32" t="s">
        <v>76</v>
      </c>
      <c r="BJ162" s="65" t="s">
        <v>76</v>
      </c>
      <c r="BK162" s="65" t="s">
        <v>76</v>
      </c>
      <c r="BL162" s="65" t="s">
        <v>76</v>
      </c>
      <c r="BM162" s="65" t="s">
        <v>76</v>
      </c>
      <c r="BN162" s="65" t="s">
        <v>76</v>
      </c>
      <c r="BO162" s="65" t="s">
        <v>76</v>
      </c>
      <c r="BP162" s="65" t="s">
        <v>76</v>
      </c>
      <c r="BQ162" s="65" t="s">
        <v>76</v>
      </c>
      <c r="BR162" s="65" t="s">
        <v>76</v>
      </c>
      <c r="BS162" s="65" t="s">
        <v>76</v>
      </c>
      <c r="BT162" s="65" t="s">
        <v>76</v>
      </c>
      <c r="BU162" s="65" t="s">
        <v>76</v>
      </c>
      <c r="BV162" s="65" t="s">
        <v>76</v>
      </c>
      <c r="BW162" s="65" t="s">
        <v>76</v>
      </c>
      <c r="BX162" s="65" t="s">
        <v>76</v>
      </c>
      <c r="BY162" s="65" t="s">
        <v>76</v>
      </c>
      <c r="BZ162" s="65"/>
      <c r="CA162" s="65"/>
      <c r="CC162" s="65" t="s">
        <v>76</v>
      </c>
      <c r="CD162" s="65" t="s">
        <v>76</v>
      </c>
      <c r="CE162" s="65" t="s">
        <v>76</v>
      </c>
      <c r="CF162" s="65" t="s">
        <v>76</v>
      </c>
      <c r="CG162" s="65">
        <v>32</v>
      </c>
      <c r="CH162" s="65">
        <v>32</v>
      </c>
      <c r="CI162" s="65" t="s">
        <v>76</v>
      </c>
      <c r="CJ162" s="65" t="s">
        <v>76</v>
      </c>
      <c r="CK162" s="65" t="s">
        <v>76</v>
      </c>
      <c r="CL162" s="65">
        <v>26</v>
      </c>
      <c r="CM162" s="65">
        <v>25</v>
      </c>
      <c r="CN162" s="11"/>
      <c r="CO162" s="28">
        <f t="shared" si="2"/>
        <v>20500</v>
      </c>
      <c r="CP162" s="32" t="str">
        <f>IF('8030 Ballast Calculator'!D32=2,HLOOKUP('8030 Ballast Calculator'!E30,'8030 Wheel Data Sheet'!$BH$128:$CA$164,35,FALSE),HLOOKUP('8030 Ballast Calculator'!E30,'8030 Wheel Data Sheet'!CC128:CM164,35,FALSE))</f>
        <v>-</v>
      </c>
    </row>
    <row r="163" spans="59:94" ht="12.75">
      <c r="BG163" s="32">
        <f t="shared" si="1"/>
        <v>21000</v>
      </c>
      <c r="BH163" s="32" t="s">
        <v>76</v>
      </c>
      <c r="BI163" s="32" t="s">
        <v>76</v>
      </c>
      <c r="BJ163" s="65" t="s">
        <v>76</v>
      </c>
      <c r="BK163" s="65" t="s">
        <v>76</v>
      </c>
      <c r="BL163" s="65" t="s">
        <v>76</v>
      </c>
      <c r="BM163" s="65" t="s">
        <v>76</v>
      </c>
      <c r="BN163" s="65" t="s">
        <v>76</v>
      </c>
      <c r="BO163" s="65" t="s">
        <v>76</v>
      </c>
      <c r="BP163" s="65" t="s">
        <v>76</v>
      </c>
      <c r="BQ163" s="65" t="s">
        <v>76</v>
      </c>
      <c r="BR163" s="65" t="s">
        <v>76</v>
      </c>
      <c r="BS163" s="65" t="s">
        <v>76</v>
      </c>
      <c r="BT163" s="65" t="s">
        <v>76</v>
      </c>
      <c r="BU163" s="65" t="s">
        <v>76</v>
      </c>
      <c r="BV163" s="65" t="s">
        <v>76</v>
      </c>
      <c r="BW163" s="65" t="s">
        <v>76</v>
      </c>
      <c r="BX163" s="65" t="s">
        <v>76</v>
      </c>
      <c r="BY163" s="65" t="s">
        <v>76</v>
      </c>
      <c r="BZ163" s="65"/>
      <c r="CA163" s="65"/>
      <c r="CC163" s="65" t="s">
        <v>76</v>
      </c>
      <c r="CD163" s="65" t="s">
        <v>76</v>
      </c>
      <c r="CE163" s="65" t="s">
        <v>76</v>
      </c>
      <c r="CF163" s="65" t="s">
        <v>76</v>
      </c>
      <c r="CG163" s="65">
        <v>34</v>
      </c>
      <c r="CH163" s="65">
        <v>34</v>
      </c>
      <c r="CI163" s="65" t="s">
        <v>76</v>
      </c>
      <c r="CJ163" s="65" t="s">
        <v>76</v>
      </c>
      <c r="CK163" s="65" t="s">
        <v>76</v>
      </c>
      <c r="CL163" s="65">
        <v>29</v>
      </c>
      <c r="CM163" s="65">
        <v>28</v>
      </c>
      <c r="CN163" s="11"/>
      <c r="CO163" s="28">
        <f t="shared" si="2"/>
        <v>21000</v>
      </c>
      <c r="CP163" s="32" t="str">
        <f>IF('8030 Ballast Calculator'!D32=2,HLOOKUP('8030 Ballast Calculator'!E30,'8030 Wheel Data Sheet'!$BH$128:$CA$164,36,FALSE),HLOOKUP('8030 Ballast Calculator'!E30,'8030 Wheel Data Sheet'!CC128:CM164,36,FALSE))</f>
        <v>-</v>
      </c>
    </row>
    <row r="164" spans="59:94" ht="12.75">
      <c r="BG164" s="32">
        <f t="shared" si="1"/>
        <v>21500</v>
      </c>
      <c r="BH164" s="32" t="s">
        <v>76</v>
      </c>
      <c r="BI164" s="32" t="s">
        <v>76</v>
      </c>
      <c r="BJ164" s="65" t="s">
        <v>76</v>
      </c>
      <c r="BK164" s="65" t="s">
        <v>76</v>
      </c>
      <c r="BL164" s="65" t="s">
        <v>76</v>
      </c>
      <c r="BM164" s="65" t="s">
        <v>76</v>
      </c>
      <c r="BN164" s="65" t="s">
        <v>76</v>
      </c>
      <c r="BO164" s="65" t="s">
        <v>76</v>
      </c>
      <c r="BP164" s="65" t="s">
        <v>76</v>
      </c>
      <c r="BQ164" s="65" t="s">
        <v>76</v>
      </c>
      <c r="BR164" s="65" t="s">
        <v>76</v>
      </c>
      <c r="BS164" s="65" t="s">
        <v>76</v>
      </c>
      <c r="BT164" s="65" t="s">
        <v>76</v>
      </c>
      <c r="BU164" s="65" t="s">
        <v>76</v>
      </c>
      <c r="BV164" s="65" t="s">
        <v>76</v>
      </c>
      <c r="BW164" s="65" t="s">
        <v>76</v>
      </c>
      <c r="BX164" s="65" t="s">
        <v>76</v>
      </c>
      <c r="BY164" s="65" t="s">
        <v>76</v>
      </c>
      <c r="BZ164" s="65"/>
      <c r="CA164" s="65"/>
      <c r="CC164" s="65" t="s">
        <v>76</v>
      </c>
      <c r="CD164" s="65" t="s">
        <v>76</v>
      </c>
      <c r="CE164" s="65" t="s">
        <v>76</v>
      </c>
      <c r="CF164" s="65" t="s">
        <v>76</v>
      </c>
      <c r="CG164" s="65">
        <v>36</v>
      </c>
      <c r="CH164" s="65">
        <v>36</v>
      </c>
      <c r="CI164" s="65" t="s">
        <v>76</v>
      </c>
      <c r="CJ164" s="65" t="s">
        <v>76</v>
      </c>
      <c r="CK164" s="65" t="s">
        <v>76</v>
      </c>
      <c r="CL164" s="65">
        <v>33</v>
      </c>
      <c r="CM164" s="65">
        <v>31</v>
      </c>
      <c r="CN164" s="11"/>
      <c r="CO164" s="28">
        <f t="shared" si="2"/>
        <v>21500</v>
      </c>
      <c r="CP164" s="32" t="str">
        <f>IF('8030 Ballast Calculator'!D32=2,HLOOKUP('8030 Ballast Calculator'!E30,'8030 Wheel Data Sheet'!$BH$128:$CA$164,37,FALSE),HLOOKUP('8030 Ballast Calculator'!E30,'8030 Wheel Data Sheet'!CC128:CM164,37,FALSE))</f>
        <v>-</v>
      </c>
    </row>
    <row r="165" spans="59:94" ht="12.75">
      <c r="BG165" s="11"/>
      <c r="BH165" s="11"/>
      <c r="BI165" s="11"/>
      <c r="BJ165" s="48"/>
      <c r="BK165" s="48"/>
      <c r="BL165" s="48"/>
      <c r="BM165" s="48"/>
      <c r="BN165" s="48"/>
      <c r="BO165" s="48"/>
      <c r="BP165" s="48"/>
      <c r="BQ165" s="48"/>
      <c r="BR165" s="48"/>
      <c r="BS165" s="48"/>
      <c r="BT165" s="48"/>
      <c r="BU165" s="48"/>
      <c r="BV165" s="48"/>
      <c r="BW165" s="48"/>
      <c r="BX165" s="48"/>
      <c r="BY165" s="48"/>
      <c r="BZ165" s="48"/>
      <c r="CA165" s="48"/>
      <c r="CC165" s="48"/>
      <c r="CD165" s="48"/>
      <c r="CE165" s="48"/>
      <c r="CF165" s="48"/>
      <c r="CG165" s="48"/>
      <c r="CH165" s="48"/>
      <c r="CI165" s="48"/>
      <c r="CJ165" s="48"/>
      <c r="CK165" s="48"/>
      <c r="CL165" s="48"/>
      <c r="CM165" s="48"/>
      <c r="CN165" s="11"/>
      <c r="CO165" s="10"/>
      <c r="CP165" s="11"/>
    </row>
    <row r="166" spans="95:96" ht="12.75">
      <c r="CQ166" s="69" t="s">
        <v>99</v>
      </c>
      <c r="CR166" s="69"/>
    </row>
    <row r="167" spans="95:96" ht="12.75">
      <c r="CQ167" s="28" t="s">
        <v>96</v>
      </c>
      <c r="CR167" s="28">
        <f>VLOOKUP('8030 Ballast Calculator'!D31,'8030 Wheel Data Sheet'!L30:S40,2)</f>
        <v>48</v>
      </c>
    </row>
    <row r="168" spans="95:96" ht="12.75">
      <c r="CQ168" s="28" t="s">
        <v>97</v>
      </c>
      <c r="CR168" s="28">
        <f>VLOOKUP('8030 Ballast Calculator'!D30,'8030 Wheel Data Sheet'!BB108:BE124,2)</f>
        <v>43</v>
      </c>
    </row>
    <row r="169" spans="95:96" ht="12.75">
      <c r="CQ169" s="28" t="s">
        <v>98</v>
      </c>
      <c r="CR169" s="28">
        <f>CR167-CR168</f>
        <v>5</v>
      </c>
    </row>
    <row r="171" spans="99:109" ht="12.75">
      <c r="CU171" s="255" t="s">
        <v>124</v>
      </c>
      <c r="CV171" s="255"/>
      <c r="CW171" s="255"/>
      <c r="CX171" s="255"/>
      <c r="CY171" s="255"/>
      <c r="CZ171" s="255"/>
      <c r="DA171" s="255"/>
      <c r="DB171" s="255"/>
      <c r="DC171" s="255"/>
      <c r="DD171" s="255"/>
      <c r="DE171" s="255"/>
    </row>
    <row r="172" spans="99:109" ht="24" customHeight="1">
      <c r="CU172" s="157"/>
      <c r="CV172" s="272" t="s">
        <v>12</v>
      </c>
      <c r="CW172" s="273"/>
      <c r="CX172" s="272">
        <v>1300</v>
      </c>
      <c r="CY172" s="273"/>
      <c r="CZ172" s="272">
        <v>1500</v>
      </c>
      <c r="DA172" s="273"/>
      <c r="DB172" s="272" t="s">
        <v>48</v>
      </c>
      <c r="DC172" s="273"/>
      <c r="DE172" s="150" t="s">
        <v>114</v>
      </c>
    </row>
    <row r="173" spans="99:109" ht="24" customHeight="1">
      <c r="CU173" s="156"/>
      <c r="CV173" s="154"/>
      <c r="CW173" s="154">
        <v>1</v>
      </c>
      <c r="CX173" s="154"/>
      <c r="CY173" s="154">
        <v>2</v>
      </c>
      <c r="CZ173" s="154"/>
      <c r="DA173" s="154">
        <v>3</v>
      </c>
      <c r="DB173" s="154"/>
      <c r="DC173" s="154">
        <v>4</v>
      </c>
      <c r="DE173" s="32"/>
    </row>
    <row r="174" spans="99:109" ht="24.75" customHeight="1">
      <c r="CU174" s="154" t="s">
        <v>115</v>
      </c>
      <c r="CV174" s="154" t="s">
        <v>125</v>
      </c>
      <c r="CW174" s="154" t="s">
        <v>126</v>
      </c>
      <c r="CX174" s="154" t="s">
        <v>125</v>
      </c>
      <c r="CY174" s="154" t="s">
        <v>126</v>
      </c>
      <c r="CZ174" s="154" t="s">
        <v>125</v>
      </c>
      <c r="DA174" s="154" t="s">
        <v>126</v>
      </c>
      <c r="DB174" s="154" t="s">
        <v>125</v>
      </c>
      <c r="DC174" s="154" t="s">
        <v>126</v>
      </c>
      <c r="DE174" s="32"/>
    </row>
    <row r="175" spans="98:109" ht="12.75" customHeight="1">
      <c r="CT175" s="32">
        <v>1</v>
      </c>
      <c r="CU175" s="32" t="str">
        <f>IF('8030 Ballast Calculator'!D36=2,"0-320","")</f>
        <v>0-320</v>
      </c>
      <c r="CV175" s="66" t="s">
        <v>76</v>
      </c>
      <c r="CW175" s="66" t="s">
        <v>90</v>
      </c>
      <c r="CX175" s="66" t="s">
        <v>76</v>
      </c>
      <c r="CY175" s="66" t="s">
        <v>90</v>
      </c>
      <c r="CZ175" s="66" t="s">
        <v>76</v>
      </c>
      <c r="DA175" s="66" t="s">
        <v>90</v>
      </c>
      <c r="DB175" s="66" t="s">
        <v>76</v>
      </c>
      <c r="DC175" s="66" t="s">
        <v>90</v>
      </c>
      <c r="DE175" s="32" t="str">
        <f>HLOOKUP('8030 Ballast Calculator'!D28,'8030 Wheel Data Sheet'!CV173:DC198,3)</f>
        <v>NONE</v>
      </c>
    </row>
    <row r="176" spans="98:109" ht="12.75" customHeight="1">
      <c r="CT176" s="32">
        <v>2</v>
      </c>
      <c r="CU176" s="32" t="str">
        <f>IF('8030 Ballast Calculator'!D36=2,"321-335","")</f>
        <v>321-335</v>
      </c>
      <c r="CV176" s="66" t="s">
        <v>116</v>
      </c>
      <c r="CW176" s="66">
        <v>9401</v>
      </c>
      <c r="CX176" s="66" t="s">
        <v>76</v>
      </c>
      <c r="CY176" s="66" t="s">
        <v>90</v>
      </c>
      <c r="CZ176" s="66" t="s">
        <v>76</v>
      </c>
      <c r="DA176" s="66" t="s">
        <v>90</v>
      </c>
      <c r="DB176" s="66" t="s">
        <v>76</v>
      </c>
      <c r="DC176" s="66" t="s">
        <v>90</v>
      </c>
      <c r="DE176" s="32" t="str">
        <f>HLOOKUP('8030 Ballast Calculator'!D28,'8030 Wheel Data Sheet'!CV173:DC198,4)</f>
        <v>NONE</v>
      </c>
    </row>
    <row r="177" spans="98:109" ht="12.75" customHeight="1">
      <c r="CT177" s="32">
        <v>3</v>
      </c>
      <c r="CU177" s="32" t="str">
        <f>IF('8030 Ballast Calculator'!D36=2,"336-350","")</f>
        <v>336-350</v>
      </c>
      <c r="CV177" s="66">
        <v>2</v>
      </c>
      <c r="CW177" s="66" t="s">
        <v>137</v>
      </c>
      <c r="CX177" s="66" t="s">
        <v>76</v>
      </c>
      <c r="CY177" s="66" t="s">
        <v>90</v>
      </c>
      <c r="CZ177" s="66" t="s">
        <v>76</v>
      </c>
      <c r="DA177" s="66" t="s">
        <v>90</v>
      </c>
      <c r="DB177" s="66" t="s">
        <v>76</v>
      </c>
      <c r="DC177" s="66" t="s">
        <v>90</v>
      </c>
      <c r="DE177" s="32" t="str">
        <f>HLOOKUP('8030 Ballast Calculator'!D28,'8030 Wheel Data Sheet'!CV173:DC198,5)</f>
        <v>NONE</v>
      </c>
    </row>
    <row r="178" spans="98:109" ht="12.75" customHeight="1">
      <c r="CT178" s="32">
        <v>4</v>
      </c>
      <c r="CU178" s="32" t="str">
        <f>IF('8030 Ballast Calculator'!D36=2,"351-365","")</f>
        <v>351-365</v>
      </c>
      <c r="CV178" s="66">
        <v>4</v>
      </c>
      <c r="CW178" s="66" t="s">
        <v>137</v>
      </c>
      <c r="CX178" s="66" t="s">
        <v>76</v>
      </c>
      <c r="CY178" s="66" t="s">
        <v>90</v>
      </c>
      <c r="CZ178" s="66" t="s">
        <v>76</v>
      </c>
      <c r="DA178" s="66" t="s">
        <v>90</v>
      </c>
      <c r="DB178" s="66" t="s">
        <v>76</v>
      </c>
      <c r="DC178" s="66" t="s">
        <v>90</v>
      </c>
      <c r="DE178" s="32" t="str">
        <f>HLOOKUP('8030 Ballast Calculator'!D28,'8030 Wheel Data Sheet'!CV173:DC198,6)</f>
        <v>NONE</v>
      </c>
    </row>
    <row r="179" spans="98:109" ht="12.75" customHeight="1">
      <c r="CT179" s="32">
        <v>5</v>
      </c>
      <c r="CU179" s="32" t="str">
        <f>IF('8030 Ballast Calculator'!D36=2,"366-380","")</f>
        <v>366-380</v>
      </c>
      <c r="CV179" s="66">
        <v>6</v>
      </c>
      <c r="CW179" s="66" t="s">
        <v>138</v>
      </c>
      <c r="CX179" s="66" t="s">
        <v>76</v>
      </c>
      <c r="CY179" s="66" t="s">
        <v>90</v>
      </c>
      <c r="CZ179" s="66" t="s">
        <v>76</v>
      </c>
      <c r="DA179" s="66" t="s">
        <v>90</v>
      </c>
      <c r="DB179" s="66" t="s">
        <v>76</v>
      </c>
      <c r="DC179" s="66" t="s">
        <v>90</v>
      </c>
      <c r="DE179" s="32" t="str">
        <f>HLOOKUP('8030 Ballast Calculator'!D28,'8030 Wheel Data Sheet'!CV173:DC198,7)</f>
        <v>NONE</v>
      </c>
    </row>
    <row r="180" spans="98:109" ht="12.75" customHeight="1">
      <c r="CT180" s="32">
        <v>6</v>
      </c>
      <c r="CU180" s="32" t="str">
        <f>IF('8030 Ballast Calculator'!D36=2,"381-395","")</f>
        <v>381-395</v>
      </c>
      <c r="CV180" s="66">
        <v>8</v>
      </c>
      <c r="CW180" s="66" t="s">
        <v>138</v>
      </c>
      <c r="CX180" s="66" t="s">
        <v>76</v>
      </c>
      <c r="CY180" s="66" t="s">
        <v>90</v>
      </c>
      <c r="CZ180" s="66" t="s">
        <v>76</v>
      </c>
      <c r="DA180" s="66" t="s">
        <v>90</v>
      </c>
      <c r="DB180" s="66" t="s">
        <v>76</v>
      </c>
      <c r="DC180" s="66" t="s">
        <v>90</v>
      </c>
      <c r="DE180" s="32" t="str">
        <f>HLOOKUP('8030 Ballast Calculator'!D28,'8030 Wheel Data Sheet'!CV173:DC198,8)</f>
        <v>NONE</v>
      </c>
    </row>
    <row r="181" spans="98:109" ht="12.75" customHeight="1">
      <c r="CT181" s="32">
        <v>7</v>
      </c>
      <c r="CU181" s="32" t="str">
        <f>IF('8030 Ballast Calculator'!D36=2,"396-410","")</f>
        <v>396-410</v>
      </c>
      <c r="CV181" s="66">
        <v>10</v>
      </c>
      <c r="CW181" s="66" t="s">
        <v>139</v>
      </c>
      <c r="CX181" s="66" t="s">
        <v>116</v>
      </c>
      <c r="CY181" s="66" t="s">
        <v>140</v>
      </c>
      <c r="CZ181" s="66" t="s">
        <v>76</v>
      </c>
      <c r="DA181" s="66" t="s">
        <v>90</v>
      </c>
      <c r="DB181" s="66" t="s">
        <v>76</v>
      </c>
      <c r="DC181" s="66" t="s">
        <v>90</v>
      </c>
      <c r="DE181" s="32" t="str">
        <f>HLOOKUP('8030 Ballast Calculator'!D28,'8030 Wheel Data Sheet'!CV173:DC198,9)</f>
        <v>9401 &amp; 9021</v>
      </c>
    </row>
    <row r="182" spans="98:109" ht="12.75" customHeight="1">
      <c r="CT182" s="32">
        <v>8</v>
      </c>
      <c r="CU182" s="32" t="str">
        <f>IF('8030 Ballast Calculator'!D36=2,"411-425","")</f>
        <v>411-425</v>
      </c>
      <c r="CV182" s="66">
        <v>12</v>
      </c>
      <c r="CW182" s="66" t="s">
        <v>139</v>
      </c>
      <c r="CX182" s="66">
        <v>2</v>
      </c>
      <c r="CY182" s="66" t="s">
        <v>141</v>
      </c>
      <c r="CZ182" s="66" t="s">
        <v>76</v>
      </c>
      <c r="DA182" s="66" t="s">
        <v>90</v>
      </c>
      <c r="DB182" s="66" t="s">
        <v>76</v>
      </c>
      <c r="DC182" s="66" t="s">
        <v>90</v>
      </c>
      <c r="DE182" s="32" t="str">
        <f>HLOOKUP('8030 Ballast Calculator'!D28,'8030 Wheel Data Sheet'!CV173:DC198,10)</f>
        <v>9404 &amp; 9228</v>
      </c>
    </row>
    <row r="183" spans="98:109" ht="12.75" customHeight="1">
      <c r="CT183" s="32">
        <v>9</v>
      </c>
      <c r="CU183" s="32" t="str">
        <f>IF('8030 Ballast Calculator'!D36=2,"426-440","")</f>
        <v>426-440</v>
      </c>
      <c r="CV183" s="66">
        <v>14</v>
      </c>
      <c r="CW183" s="163" t="s">
        <v>142</v>
      </c>
      <c r="CX183" s="66">
        <v>4</v>
      </c>
      <c r="CY183" s="66" t="s">
        <v>141</v>
      </c>
      <c r="CZ183" s="66" t="s">
        <v>116</v>
      </c>
      <c r="DA183" s="66" t="s">
        <v>140</v>
      </c>
      <c r="DB183" s="66" t="s">
        <v>76</v>
      </c>
      <c r="DC183" s="66" t="s">
        <v>90</v>
      </c>
      <c r="DE183" s="32" t="str">
        <f>HLOOKUP('8030 Ballast Calculator'!D28,'8030 Wheel Data Sheet'!CV173:DC198,11)</f>
        <v>9404 &amp; 9228</v>
      </c>
    </row>
    <row r="184" spans="98:109" ht="12.75" customHeight="1">
      <c r="CT184" s="32">
        <v>10</v>
      </c>
      <c r="CU184" s="32" t="str">
        <f>IF('8030 Ballast Calculator'!D36=2,"441-455","")</f>
        <v>441-455</v>
      </c>
      <c r="CV184" s="66">
        <v>16</v>
      </c>
      <c r="CW184" s="163" t="s">
        <v>142</v>
      </c>
      <c r="CX184" s="66">
        <v>6</v>
      </c>
      <c r="CY184" s="66" t="s">
        <v>157</v>
      </c>
      <c r="CZ184" s="66">
        <v>2</v>
      </c>
      <c r="DA184" s="66" t="s">
        <v>141</v>
      </c>
      <c r="DB184" s="66" t="s">
        <v>76</v>
      </c>
      <c r="DC184" s="66" t="s">
        <v>90</v>
      </c>
      <c r="DE184" s="32" t="str">
        <f>HLOOKUP('8030 Ballast Calculator'!D28,'8030 Wheel Data Sheet'!CV173:DC198,12)</f>
        <v>9408, 9228 &amp; 9021</v>
      </c>
    </row>
    <row r="185" spans="98:109" ht="12.75" customHeight="1">
      <c r="CT185" s="32">
        <v>11</v>
      </c>
      <c r="CU185" s="32" t="str">
        <f>IF('8030 Ballast Calculator'!D36=2,"456-470","")</f>
        <v>456-470</v>
      </c>
      <c r="CV185" s="66">
        <v>18</v>
      </c>
      <c r="CW185" s="66" t="s">
        <v>143</v>
      </c>
      <c r="CX185" s="66">
        <v>8</v>
      </c>
      <c r="CY185" s="66" t="s">
        <v>157</v>
      </c>
      <c r="CZ185" s="66">
        <v>4</v>
      </c>
      <c r="DA185" s="66" t="s">
        <v>141</v>
      </c>
      <c r="DB185" s="66" t="s">
        <v>116</v>
      </c>
      <c r="DC185" s="66" t="s">
        <v>140</v>
      </c>
      <c r="DE185" s="32" t="str">
        <f>HLOOKUP('8030 Ballast Calculator'!D28,'8030 Wheel Data Sheet'!CV173:DC198,13)</f>
        <v>9408, 9228 &amp; 9021</v>
      </c>
    </row>
    <row r="186" spans="98:109" ht="12.75" customHeight="1">
      <c r="CT186" s="32">
        <v>12</v>
      </c>
      <c r="CU186" s="32" t="str">
        <f>IF('8030 Ballast Calculator'!D36=2,"471-485","")</f>
        <v>471-485</v>
      </c>
      <c r="CV186" s="66">
        <v>20</v>
      </c>
      <c r="CW186" s="66" t="s">
        <v>143</v>
      </c>
      <c r="CX186" s="66">
        <v>10</v>
      </c>
      <c r="CY186" s="66" t="s">
        <v>145</v>
      </c>
      <c r="CZ186" s="66">
        <v>6</v>
      </c>
      <c r="DA186" s="66" t="s">
        <v>144</v>
      </c>
      <c r="DB186" s="66">
        <v>2</v>
      </c>
      <c r="DC186" s="66" t="s">
        <v>137</v>
      </c>
      <c r="DE186" s="32" t="str">
        <f>HLOOKUP('8030 Ballast Calculator'!D28,'8030 Wheel Data Sheet'!CV173:DC198,14)</f>
        <v>9412, 9228 &amp; 9283</v>
      </c>
    </row>
    <row r="187" spans="98:109" ht="12" customHeight="1">
      <c r="CT187" s="32">
        <v>13</v>
      </c>
      <c r="CU187" s="32" t="str">
        <f>IF('8030 Ballast Calculator'!D36=2,"486-500","")</f>
        <v>486-500</v>
      </c>
      <c r="CV187" s="66">
        <v>22</v>
      </c>
      <c r="CW187" s="66" t="s">
        <v>143</v>
      </c>
      <c r="CX187" s="66">
        <v>12</v>
      </c>
      <c r="CY187" s="66" t="s">
        <v>145</v>
      </c>
      <c r="CZ187" s="66">
        <v>8</v>
      </c>
      <c r="DA187" s="66" t="s">
        <v>144</v>
      </c>
      <c r="DB187" s="66">
        <v>4</v>
      </c>
      <c r="DC187" s="66" t="s">
        <v>137</v>
      </c>
      <c r="DE187" s="32" t="str">
        <f>HLOOKUP('8030 Ballast Calculator'!D28,'8030 Wheel Data Sheet'!CV173:DC198,15)</f>
        <v>9412, 9228 &amp; 9283</v>
      </c>
    </row>
    <row r="188" spans="98:109" ht="12.75" customHeight="1">
      <c r="CT188" s="32">
        <v>14</v>
      </c>
      <c r="CU188" s="32" t="str">
        <f>IF('8030 Ballast Calculator'!D36=2,"501-515","")</f>
        <v>501-515</v>
      </c>
      <c r="CV188" s="66" t="s">
        <v>76</v>
      </c>
      <c r="CW188" s="66" t="s">
        <v>113</v>
      </c>
      <c r="CX188" s="66">
        <v>14</v>
      </c>
      <c r="CY188" s="66">
        <v>9291</v>
      </c>
      <c r="CZ188" s="66">
        <v>10</v>
      </c>
      <c r="DA188" s="66" t="s">
        <v>145</v>
      </c>
      <c r="DB188" s="66">
        <v>6</v>
      </c>
      <c r="DC188" s="66" t="s">
        <v>138</v>
      </c>
      <c r="DE188" s="32">
        <f>HLOOKUP('8030 Ballast Calculator'!D28,'8030 Wheel Data Sheet'!CV173:DC198,16)</f>
        <v>9291</v>
      </c>
    </row>
    <row r="189" spans="98:109" ht="12.75" customHeight="1">
      <c r="CT189" s="32">
        <v>15</v>
      </c>
      <c r="CU189" s="32" t="str">
        <f>IF('8030 Ballast Calculator'!D36=2,"516-530","")</f>
        <v>516-530</v>
      </c>
      <c r="CV189" s="66" t="s">
        <v>76</v>
      </c>
      <c r="CW189" s="66" t="s">
        <v>113</v>
      </c>
      <c r="CX189" s="66">
        <v>16</v>
      </c>
      <c r="CY189" s="66">
        <v>9291</v>
      </c>
      <c r="CZ189" s="66">
        <v>12</v>
      </c>
      <c r="DA189" s="66" t="s">
        <v>145</v>
      </c>
      <c r="DB189" s="66">
        <v>8</v>
      </c>
      <c r="DC189" s="66" t="s">
        <v>138</v>
      </c>
      <c r="DE189" s="32">
        <f>HLOOKUP('8030 Ballast Calculator'!D28,'8030 Wheel Data Sheet'!CV173:DC198,17)</f>
        <v>9291</v>
      </c>
    </row>
    <row r="190" spans="98:109" ht="12.75" customHeight="1">
      <c r="CT190" s="32">
        <v>16</v>
      </c>
      <c r="CU190" s="32" t="str">
        <f>IF('8030 Ballast Calculator'!D36=2,"531-545","")</f>
        <v>531-545</v>
      </c>
      <c r="CV190" s="66" t="s">
        <v>76</v>
      </c>
      <c r="CW190" s="66" t="s">
        <v>113</v>
      </c>
      <c r="CX190" s="66">
        <v>18</v>
      </c>
      <c r="CY190" s="66" t="s">
        <v>143</v>
      </c>
      <c r="CZ190" s="66">
        <v>14</v>
      </c>
      <c r="DA190" s="66">
        <v>9291</v>
      </c>
      <c r="DB190" s="66">
        <v>10</v>
      </c>
      <c r="DC190" s="66" t="s">
        <v>139</v>
      </c>
      <c r="DE190" s="32" t="str">
        <f>HLOOKUP('8030 Ballast Calculator'!D28,'8030 Wheel Data Sheet'!CV173:DC198,18)</f>
        <v>9422, 9228 &amp; 9276</v>
      </c>
    </row>
    <row r="191" spans="98:109" ht="12.75" customHeight="1">
      <c r="CT191" s="32">
        <v>17</v>
      </c>
      <c r="CU191" s="32" t="str">
        <f>IF('8030 Ballast Calculator'!D36=2,"546-560","")</f>
        <v>546-560</v>
      </c>
      <c r="CV191" s="66" t="s">
        <v>76</v>
      </c>
      <c r="CW191" s="66" t="s">
        <v>113</v>
      </c>
      <c r="CX191" s="66">
        <v>20</v>
      </c>
      <c r="CY191" s="66" t="s">
        <v>143</v>
      </c>
      <c r="CZ191" s="66">
        <v>16</v>
      </c>
      <c r="DA191" s="66">
        <v>9291</v>
      </c>
      <c r="DB191" s="66">
        <v>12</v>
      </c>
      <c r="DC191" s="66" t="s">
        <v>139</v>
      </c>
      <c r="DE191" s="32" t="str">
        <f>HLOOKUP('8030 Ballast Calculator'!D28,'8030 Wheel Data Sheet'!CV173:DC198,19)</f>
        <v>9422, 9228 &amp; 9276</v>
      </c>
    </row>
    <row r="192" spans="98:109" ht="12.75" customHeight="1">
      <c r="CT192" s="32">
        <v>18</v>
      </c>
      <c r="CU192" s="32" t="str">
        <f>IF('8030 Ballast Calculator'!D36=2,"561-575","")</f>
        <v>561-575</v>
      </c>
      <c r="CV192" s="66" t="s">
        <v>76</v>
      </c>
      <c r="CW192" s="66" t="s">
        <v>113</v>
      </c>
      <c r="CX192" s="66">
        <v>22</v>
      </c>
      <c r="CY192" s="66" t="s">
        <v>143</v>
      </c>
      <c r="CZ192" s="66">
        <v>18</v>
      </c>
      <c r="DA192" s="66" t="s">
        <v>143</v>
      </c>
      <c r="DB192" s="66">
        <v>14</v>
      </c>
      <c r="DC192" s="66" t="s">
        <v>142</v>
      </c>
      <c r="DE192" s="32" t="str">
        <f>HLOOKUP('8030 Ballast Calculator'!D28,'8030 Wheel Data Sheet'!CV173:DC198,20)</f>
        <v>9422, 9228 &amp; 9276</v>
      </c>
    </row>
    <row r="193" spans="98:109" ht="12.75" customHeight="1">
      <c r="CT193" s="32">
        <v>19</v>
      </c>
      <c r="CU193" s="32" t="str">
        <f>IF('8030 Ballast Calculator'!D36=2,"576-590","")</f>
        <v>576-590</v>
      </c>
      <c r="CV193" s="66" t="s">
        <v>76</v>
      </c>
      <c r="CW193" s="66" t="s">
        <v>113</v>
      </c>
      <c r="CX193" s="66" t="s">
        <v>76</v>
      </c>
      <c r="CY193" s="66" t="s">
        <v>113</v>
      </c>
      <c r="CZ193" s="66">
        <v>20</v>
      </c>
      <c r="DA193" s="66" t="s">
        <v>143</v>
      </c>
      <c r="DB193" s="66">
        <v>16</v>
      </c>
      <c r="DC193" s="66" t="s">
        <v>142</v>
      </c>
      <c r="DE193" s="32" t="str">
        <f>HLOOKUP('8030 Ballast Calculator'!D28,'8030 Wheel Data Sheet'!CV173:DC198,21)</f>
        <v>N/A</v>
      </c>
    </row>
    <row r="194" spans="98:109" ht="12.75" customHeight="1">
      <c r="CT194" s="32">
        <v>20</v>
      </c>
      <c r="CU194" s="32" t="str">
        <f>IF('8030 Ballast Calculator'!D36=2,"591-610","")</f>
        <v>591-610</v>
      </c>
      <c r="CV194" s="66" t="s">
        <v>76</v>
      </c>
      <c r="CW194" s="66" t="s">
        <v>113</v>
      </c>
      <c r="CX194" s="66" t="s">
        <v>76</v>
      </c>
      <c r="CY194" s="66" t="s">
        <v>113</v>
      </c>
      <c r="CZ194" s="66">
        <v>22</v>
      </c>
      <c r="DA194" s="66" t="s">
        <v>143</v>
      </c>
      <c r="DB194" s="66">
        <v>18</v>
      </c>
      <c r="DC194" s="66" t="s">
        <v>143</v>
      </c>
      <c r="DE194" s="32" t="str">
        <f>HLOOKUP('8030 Ballast Calculator'!D28,'8030 Wheel Data Sheet'!CV173:DC198,22)</f>
        <v>N/A</v>
      </c>
    </row>
    <row r="195" spans="98:109" ht="12.75" customHeight="1">
      <c r="CT195" s="32">
        <v>21</v>
      </c>
      <c r="CU195" s="32" t="str">
        <f>IF('8030 Ballast Calculator'!D36=2,"611-625","")</f>
        <v>611-625</v>
      </c>
      <c r="CV195" s="66" t="s">
        <v>76</v>
      </c>
      <c r="CW195" s="66" t="s">
        <v>113</v>
      </c>
      <c r="CX195" s="66" t="s">
        <v>76</v>
      </c>
      <c r="CY195" s="66" t="s">
        <v>113</v>
      </c>
      <c r="CZ195" s="66" t="s">
        <v>76</v>
      </c>
      <c r="DA195" s="66" t="s">
        <v>113</v>
      </c>
      <c r="DB195" s="66">
        <v>20</v>
      </c>
      <c r="DC195" s="66" t="s">
        <v>143</v>
      </c>
      <c r="DE195" s="32" t="str">
        <f>HLOOKUP('8030 Ballast Calculator'!D28,'8030 Wheel Data Sheet'!CV173:DC198,23)</f>
        <v>N/A</v>
      </c>
    </row>
    <row r="196" spans="98:109" ht="12.75" customHeight="1">
      <c r="CT196" s="32">
        <v>22</v>
      </c>
      <c r="CU196" s="32" t="str">
        <f>IF('8030 Ballast Calculator'!D36=2,"626-640","")</f>
        <v>626-640</v>
      </c>
      <c r="CV196" s="66" t="s">
        <v>76</v>
      </c>
      <c r="CW196" s="66" t="s">
        <v>113</v>
      </c>
      <c r="CX196" s="66" t="s">
        <v>76</v>
      </c>
      <c r="CY196" s="66" t="s">
        <v>113</v>
      </c>
      <c r="CZ196" s="66" t="s">
        <v>76</v>
      </c>
      <c r="DA196" s="66" t="s">
        <v>113</v>
      </c>
      <c r="DB196" s="66">
        <v>22</v>
      </c>
      <c r="DC196" s="66" t="s">
        <v>143</v>
      </c>
      <c r="DE196" s="32" t="str">
        <f>HLOOKUP('8030 Ballast Calculator'!D28,'8030 Wheel Data Sheet'!CV173:DC198,24)</f>
        <v>N/A</v>
      </c>
    </row>
    <row r="197" spans="98:109" ht="12.75" customHeight="1">
      <c r="CT197" s="32">
        <v>23</v>
      </c>
      <c r="CU197" s="32" t="str">
        <f>IF('8030 Ballast Calculator'!D36=2,"641-655","")</f>
        <v>641-655</v>
      </c>
      <c r="CV197" s="66" t="s">
        <v>76</v>
      </c>
      <c r="CW197" s="66" t="s">
        <v>113</v>
      </c>
      <c r="CX197" s="66" t="s">
        <v>76</v>
      </c>
      <c r="CY197" s="66" t="s">
        <v>113</v>
      </c>
      <c r="CZ197" s="66" t="s">
        <v>76</v>
      </c>
      <c r="DA197" s="66" t="s">
        <v>113</v>
      </c>
      <c r="DB197" s="66" t="s">
        <v>76</v>
      </c>
      <c r="DC197" s="66" t="s">
        <v>113</v>
      </c>
      <c r="DE197" s="32" t="str">
        <f>HLOOKUP('8030 Ballast Calculator'!D28,'8030 Wheel Data Sheet'!CV173:DC198,25)</f>
        <v>N/A</v>
      </c>
    </row>
    <row r="198" spans="98:109" ht="12.75" customHeight="1">
      <c r="CT198" s="32">
        <v>24</v>
      </c>
      <c r="CU198" s="32" t="str">
        <f>IF('8030 Ballast Calculator'!D36=2,"656-670","")</f>
        <v>656-670</v>
      </c>
      <c r="CV198" s="65" t="s">
        <v>76</v>
      </c>
      <c r="CW198" s="66" t="s">
        <v>113</v>
      </c>
      <c r="CX198" s="65" t="s">
        <v>76</v>
      </c>
      <c r="CY198" s="66" t="s">
        <v>113</v>
      </c>
      <c r="CZ198" s="65" t="s">
        <v>76</v>
      </c>
      <c r="DA198" s="66" t="s">
        <v>113</v>
      </c>
      <c r="DB198" s="65" t="s">
        <v>76</v>
      </c>
      <c r="DC198" s="66" t="s">
        <v>113</v>
      </c>
      <c r="DE198" s="32" t="str">
        <f>HLOOKUP('8030 Ballast Calculator'!D28,'8030 Wheel Data Sheet'!CV173:DC198,26)</f>
        <v>N/A</v>
      </c>
    </row>
    <row r="199" spans="99:109" ht="12.75" customHeight="1">
      <c r="CU199" s="158"/>
      <c r="CV199" s="158"/>
      <c r="CW199" s="159"/>
      <c r="CX199" s="158"/>
      <c r="CY199" s="159"/>
      <c r="CZ199" s="158"/>
      <c r="DA199" s="159"/>
      <c r="DB199" s="158"/>
      <c r="DC199" s="159"/>
      <c r="DE199" s="11"/>
    </row>
    <row r="200" spans="99:109" ht="12.75" customHeight="1">
      <c r="CU200" s="48"/>
      <c r="CV200" s="48"/>
      <c r="CW200" s="52"/>
      <c r="CX200" s="48"/>
      <c r="CY200" s="52"/>
      <c r="CZ200" s="48"/>
      <c r="DA200" s="52"/>
      <c r="DB200" s="48"/>
      <c r="DC200" s="52"/>
      <c r="DE200" s="11"/>
    </row>
    <row r="201" spans="99:109" ht="12.75" customHeight="1">
      <c r="CU201" s="160"/>
      <c r="CV201" s="160"/>
      <c r="CW201" s="161"/>
      <c r="CX201" s="160"/>
      <c r="CY201" s="161"/>
      <c r="CZ201" s="160"/>
      <c r="DA201" s="161"/>
      <c r="DB201" s="160"/>
      <c r="DC201" s="161"/>
      <c r="DE201" s="11"/>
    </row>
    <row r="202" spans="99:107" ht="25.5" customHeight="1">
      <c r="CU202" s="193" t="s">
        <v>117</v>
      </c>
      <c r="CV202" s="65"/>
      <c r="CW202" s="65"/>
      <c r="CX202" s="65"/>
      <c r="CY202" s="65"/>
      <c r="CZ202" s="65"/>
      <c r="DA202" s="65"/>
      <c r="DB202" s="65"/>
      <c r="DC202" s="65"/>
    </row>
    <row r="203" spans="99:107" ht="25.5" customHeight="1">
      <c r="CU203" s="194" t="s">
        <v>118</v>
      </c>
      <c r="CV203" s="64"/>
      <c r="CW203" s="64"/>
      <c r="CX203" s="64"/>
      <c r="CY203" s="64"/>
      <c r="CZ203" s="64"/>
      <c r="DA203" s="64"/>
      <c r="DB203" s="64"/>
      <c r="DC203" s="64"/>
    </row>
    <row r="204" spans="99:107" ht="25.5" customHeight="1">
      <c r="CU204" s="193" t="s">
        <v>119</v>
      </c>
      <c r="CV204" s="65">
        <v>15</v>
      </c>
      <c r="CW204" s="65"/>
      <c r="CX204" s="65">
        <v>60</v>
      </c>
      <c r="CY204" s="65"/>
      <c r="CZ204" s="65">
        <v>60</v>
      </c>
      <c r="DA204" s="65"/>
      <c r="DB204" s="65">
        <v>60</v>
      </c>
      <c r="DC204" s="65"/>
    </row>
    <row r="205" spans="99:107" ht="25.5" customHeight="1">
      <c r="CU205" s="193" t="s">
        <v>120</v>
      </c>
      <c r="CV205" s="65" t="s">
        <v>76</v>
      </c>
      <c r="CW205" s="65"/>
      <c r="CX205" s="65" t="s">
        <v>76</v>
      </c>
      <c r="CY205" s="65"/>
      <c r="CZ205" s="65">
        <v>60</v>
      </c>
      <c r="DA205" s="65"/>
      <c r="DB205" s="65">
        <v>60</v>
      </c>
      <c r="DC205" s="65"/>
    </row>
    <row r="206" spans="99:107" ht="25.5" customHeight="1">
      <c r="CU206" s="193" t="s">
        <v>121</v>
      </c>
      <c r="CV206" s="65" t="s">
        <v>76</v>
      </c>
      <c r="CW206" s="65"/>
      <c r="CX206" s="65" t="s">
        <v>76</v>
      </c>
      <c r="CY206" s="65"/>
      <c r="CZ206" s="65">
        <v>60</v>
      </c>
      <c r="DA206" s="65"/>
      <c r="DB206" s="65">
        <v>60</v>
      </c>
      <c r="DC206" s="65"/>
    </row>
    <row r="207" spans="99:107" ht="25.5" customHeight="1">
      <c r="CU207" s="193" t="s">
        <v>122</v>
      </c>
      <c r="CV207" s="65">
        <v>15</v>
      </c>
      <c r="CW207" s="65"/>
      <c r="CX207" s="65">
        <v>15</v>
      </c>
      <c r="CY207" s="65"/>
      <c r="CZ207" s="65">
        <v>15</v>
      </c>
      <c r="DA207" s="65"/>
      <c r="DB207" s="65">
        <v>15</v>
      </c>
      <c r="DC207" s="65"/>
    </row>
    <row r="208" spans="99:107" ht="12.75">
      <c r="CU208" s="249"/>
      <c r="CV208" s="249"/>
      <c r="CW208" s="249"/>
      <c r="CX208" s="249"/>
      <c r="CY208" s="249"/>
      <c r="CZ208" s="249"/>
      <c r="DA208" s="249"/>
      <c r="DB208" s="249"/>
      <c r="DC208" s="64"/>
    </row>
    <row r="209" spans="99:107" ht="38.25" customHeight="1">
      <c r="CU209" s="194" t="s">
        <v>123</v>
      </c>
      <c r="CV209" s="65">
        <v>530</v>
      </c>
      <c r="CW209" s="65"/>
      <c r="CX209" s="65">
        <v>650</v>
      </c>
      <c r="CY209" s="65"/>
      <c r="CZ209" s="65">
        <v>805</v>
      </c>
      <c r="DA209" s="65"/>
      <c r="DB209" s="65">
        <v>835</v>
      </c>
      <c r="DC209" s="65"/>
    </row>
    <row r="210" spans="99:107" ht="12.75">
      <c r="CU210" s="274"/>
      <c r="CV210" s="274"/>
      <c r="CW210" s="274"/>
      <c r="CX210" s="274"/>
      <c r="CY210" s="274"/>
      <c r="CZ210" s="274"/>
      <c r="DA210" s="274"/>
      <c r="DB210" s="274"/>
      <c r="DC210" s="152"/>
    </row>
    <row r="211" spans="99:107" ht="12.75">
      <c r="CU211" s="271"/>
      <c r="CV211" s="271"/>
      <c r="CW211" s="271"/>
      <c r="CX211" s="271"/>
      <c r="CY211" s="271"/>
      <c r="CZ211" s="271"/>
      <c r="DA211" s="271"/>
      <c r="DB211" s="271"/>
      <c r="DC211" s="153"/>
    </row>
  </sheetData>
  <sheetProtection password="C44C" sheet="1" objects="1" scenarios="1"/>
  <mergeCells count="22">
    <mergeCell ref="CU211:DB211"/>
    <mergeCell ref="CV172:CW172"/>
    <mergeCell ref="CX172:CY172"/>
    <mergeCell ref="CZ172:DA172"/>
    <mergeCell ref="DB172:DC172"/>
    <mergeCell ref="CU210:DB210"/>
    <mergeCell ref="I13:K13"/>
    <mergeCell ref="L23:S23"/>
    <mergeCell ref="T42:AA42"/>
    <mergeCell ref="CO127:CP127"/>
    <mergeCell ref="AB62:BA62"/>
    <mergeCell ref="CC127:CM127"/>
    <mergeCell ref="AG63:AX63"/>
    <mergeCell ref="AZ63:BA63"/>
    <mergeCell ref="AB63:AE63"/>
    <mergeCell ref="BB107:BE107"/>
    <mergeCell ref="AZ64:BA64"/>
    <mergeCell ref="BH127:CA127"/>
    <mergeCell ref="CU208:DB208"/>
    <mergeCell ref="CO128:CP128"/>
    <mergeCell ref="BG126:CP126"/>
    <mergeCell ref="CU171:DE171"/>
  </mergeCells>
  <printOptions/>
  <pageMargins left="0.75" right="0.75" top="1" bottom="1" header="0.5" footer="0.5"/>
  <pageSetup horizontalDpi="600" verticalDpi="600" orientation="portrait" r:id="rId3"/>
  <headerFooter alignWithMargins="0">
    <oddHeader>&amp;C&amp;A</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John Deere Waterloo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8030 Ballast Calculator</dc:title>
  <dc:subject/>
  <dc:creator>John Nees</dc:creator>
  <cp:keywords/>
  <dc:description/>
  <cp:lastModifiedBy>Sapient</cp:lastModifiedBy>
  <cp:lastPrinted>2006-09-28T16:09:12Z</cp:lastPrinted>
  <dcterms:created xsi:type="dcterms:W3CDTF">1998-08-07T15:41:00Z</dcterms:created>
  <dcterms:modified xsi:type="dcterms:W3CDTF">2011-06-24T16:05:34Z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