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65521" windowWidth="4230" windowHeight="4695" tabRatio="540" activeTab="0"/>
  </bookViews>
  <sheets>
    <sheet name="Ballast Calculator" sheetId="1" r:id="rId1"/>
    <sheet name="Drop down Options" sheetId="2" state="hidden" r:id="rId2"/>
    <sheet name="Platforms" sheetId="3" state="hidden" r:id="rId3"/>
  </sheets>
  <externalReferences>
    <externalReference r:id="rId6"/>
  </externalReferences>
  <definedNames>
    <definedName name="PTOval">'Drop down Options'!$C$29</definedName>
    <definedName name="RW">'[1]Ballast_Calculator'!$D$39</definedName>
  </definedNames>
  <calcPr fullCalcOnLoad="1"/>
</workbook>
</file>

<file path=xl/comments3.xml><?xml version="1.0" encoding="utf-8"?>
<comments xmlns="http://schemas.openxmlformats.org/spreadsheetml/2006/main">
  <authors>
    <author>Heidi M Mikulsky</author>
    <author>Katherine M Sheets</author>
  </authors>
  <commentList>
    <comment ref="N2" authorId="0">
      <text>
        <r>
          <rPr>
            <b/>
            <sz val="8"/>
            <rFont val="Tahoma"/>
            <family val="0"/>
          </rPr>
          <t>Heidi M Mikulsky:</t>
        </r>
        <r>
          <rPr>
            <sz val="8"/>
            <rFont val="Tahoma"/>
            <family val="0"/>
          </rPr>
          <t xml:space="preserve">
The most the tractor and everything could weigh</t>
        </r>
      </text>
    </comment>
    <comment ref="I2" authorId="0">
      <text>
        <r>
          <rPr>
            <b/>
            <sz val="8"/>
            <rFont val="Tahoma"/>
            <family val="0"/>
          </rPr>
          <t>Heidi M Mikulsky:</t>
        </r>
        <r>
          <rPr>
            <sz val="8"/>
            <rFont val="Tahoma"/>
            <family val="0"/>
          </rPr>
          <t xml:space="preserve">
(0,0) is rear wheel on ground</t>
        </r>
      </text>
    </comment>
    <comment ref="J2" authorId="0">
      <text>
        <r>
          <rPr>
            <b/>
            <sz val="8"/>
            <rFont val="Tahoma"/>
            <family val="0"/>
          </rPr>
          <t>Heidi M Mikulsky:</t>
        </r>
        <r>
          <rPr>
            <sz val="8"/>
            <rFont val="Tahoma"/>
            <family val="0"/>
          </rPr>
          <t xml:space="preserve">
(0,0) is rear wheel on ground</t>
        </r>
      </text>
    </comment>
    <comment ref="T2" authorId="0">
      <text>
        <r>
          <rPr>
            <b/>
            <sz val="8"/>
            <rFont val="Tahoma"/>
            <family val="0"/>
          </rPr>
          <t>Heidi M Mikulsky:</t>
        </r>
        <r>
          <rPr>
            <sz val="8"/>
            <rFont val="Tahoma"/>
            <family val="0"/>
          </rPr>
          <t xml:space="preserve">
(0,0) is rear wheel on ground</t>
        </r>
      </text>
    </comment>
    <comment ref="U2" authorId="0">
      <text>
        <r>
          <rPr>
            <b/>
            <sz val="8"/>
            <rFont val="Tahoma"/>
            <family val="0"/>
          </rPr>
          <t>Heidi M Mikulsky:</t>
        </r>
        <r>
          <rPr>
            <sz val="8"/>
            <rFont val="Tahoma"/>
            <family val="0"/>
          </rPr>
          <t xml:space="preserve">
(0,0) is rear wheel on ground</t>
        </r>
      </text>
    </comment>
    <comment ref="V2" authorId="0">
      <text>
        <r>
          <rPr>
            <b/>
            <sz val="8"/>
            <rFont val="Tahoma"/>
            <family val="0"/>
          </rPr>
          <t>Heidi M Mikulsky:</t>
        </r>
        <r>
          <rPr>
            <sz val="8"/>
            <rFont val="Tahoma"/>
            <family val="0"/>
          </rPr>
          <t xml:space="preserve">
(0,0) is rear wheel on ground
Horizontal distance from rear axle to TRACTORmountingframe position</t>
        </r>
      </text>
    </comment>
    <comment ref="W2" authorId="0">
      <text>
        <r>
          <rPr>
            <b/>
            <sz val="8"/>
            <rFont val="Tahoma"/>
            <family val="0"/>
          </rPr>
          <t>Heidi M Mikulsky:</t>
        </r>
        <r>
          <rPr>
            <sz val="8"/>
            <rFont val="Tahoma"/>
            <family val="0"/>
          </rPr>
          <t xml:space="preserve">
(0,0) is rear wheel on ground
Vertical distance from ground to rear axle + vertical distance from rear axle to TRACTORmountingframe postion</t>
        </r>
      </text>
    </comment>
    <comment ref="K2" authorId="0">
      <text>
        <r>
          <rPr>
            <b/>
            <sz val="8"/>
            <rFont val="Tahoma"/>
            <family val="0"/>
          </rPr>
          <t>Heidi M Mikulsky:</t>
        </r>
        <r>
          <rPr>
            <sz val="8"/>
            <rFont val="Tahoma"/>
            <family val="0"/>
          </rPr>
          <t xml:space="preserve">
2WD non premium = 272.9
2WD premium = 293.7
MFWD = 400
MFWD = 450
Not using this information in calculator</t>
        </r>
      </text>
    </comment>
    <comment ref="L2" authorId="0">
      <text>
        <r>
          <rPr>
            <b/>
            <sz val="8"/>
            <rFont val="Tahoma"/>
            <family val="0"/>
          </rPr>
          <t>Heidi M Mikulsky:</t>
        </r>
        <r>
          <rPr>
            <sz val="8"/>
            <rFont val="Tahoma"/>
            <family val="0"/>
          </rPr>
          <t xml:space="preserve">
2WD non premium = 2710
2WD premium = 2846
MFWD = 2645.5
MFWD TLS = 2645.5</t>
        </r>
      </text>
    </comment>
    <comment ref="M2" authorId="0">
      <text>
        <r>
          <rPr>
            <b/>
            <sz val="8"/>
            <rFont val="Tahoma"/>
            <family val="0"/>
          </rPr>
          <t>Heidi M Mikulsky:</t>
        </r>
        <r>
          <rPr>
            <sz val="8"/>
            <rFont val="Tahoma"/>
            <family val="0"/>
          </rPr>
          <t xml:space="preserve">
2WD non premium = 880
2WD premium = 880
MFWD = 880
MFWD TLS = 880</t>
        </r>
      </text>
    </comment>
    <comment ref="H1" authorId="0">
      <text>
        <r>
          <rPr>
            <b/>
            <sz val="8"/>
            <rFont val="Tahoma"/>
            <family val="0"/>
          </rPr>
          <t>Heidi M Mikulsky:</t>
        </r>
        <r>
          <rPr>
            <sz val="8"/>
            <rFont val="Tahoma"/>
            <family val="0"/>
          </rPr>
          <t xml:space="preserve">
All COG are (0,0) at rear wheel where it hits the ground</t>
        </r>
      </text>
    </comment>
    <comment ref="Q2" authorId="0">
      <text>
        <r>
          <rPr>
            <b/>
            <sz val="8"/>
            <rFont val="Tahoma"/>
            <family val="0"/>
          </rPr>
          <t>Heidi M Mikulsky:</t>
        </r>
        <r>
          <rPr>
            <sz val="8"/>
            <rFont val="Tahoma"/>
            <family val="0"/>
          </rPr>
          <t xml:space="preserve">
The load front axle with Tractor model, OS, FA, and Transmission (no tires)</t>
        </r>
      </text>
    </comment>
    <comment ref="R2" authorId="0">
      <text>
        <r>
          <rPr>
            <b/>
            <sz val="8"/>
            <rFont val="Tahoma"/>
            <family val="0"/>
          </rPr>
          <t>Heidi M Mikulsky:</t>
        </r>
        <r>
          <rPr>
            <sz val="8"/>
            <rFont val="Tahoma"/>
            <family val="0"/>
          </rPr>
          <t xml:space="preserve">
The load rear axle with Tractor model, OS, FA, and Transmission (no tires)</t>
        </r>
      </text>
    </comment>
    <comment ref="S2" authorId="0">
      <text>
        <r>
          <rPr>
            <b/>
            <sz val="8"/>
            <rFont val="Tahoma"/>
            <family val="0"/>
          </rPr>
          <t>Heidi M Mikulsky:</t>
        </r>
        <r>
          <rPr>
            <sz val="8"/>
            <rFont val="Tahoma"/>
            <family val="0"/>
          </rPr>
          <t xml:space="preserve">
this is used to check that the formulas in the front and rear axle are correct.  This column should match the rear axle load column</t>
        </r>
      </text>
    </comment>
    <comment ref="AF2" authorId="1">
      <text>
        <r>
          <rPr>
            <b/>
            <sz val="8"/>
            <rFont val="Tahoma"/>
            <family val="0"/>
          </rPr>
          <t>Katherine M Sheets:</t>
        </r>
        <r>
          <rPr>
            <sz val="8"/>
            <rFont val="Tahoma"/>
            <family val="0"/>
          </rPr>
          <t xml:space="preserve">
From the rear tire on the ground to COG of Front weights
</t>
        </r>
      </text>
    </comment>
    <comment ref="AG2" authorId="1">
      <text>
        <r>
          <rPr>
            <b/>
            <sz val="8"/>
            <rFont val="Tahoma"/>
            <family val="0"/>
          </rPr>
          <t>Katherine M Sheets:</t>
        </r>
        <r>
          <rPr>
            <sz val="8"/>
            <rFont val="Tahoma"/>
            <family val="0"/>
          </rPr>
          <t xml:space="preserve">
From the rear tire on the ground
</t>
        </r>
      </text>
    </comment>
    <comment ref="AH2" authorId="1">
      <text>
        <r>
          <rPr>
            <b/>
            <sz val="8"/>
            <rFont val="Tahoma"/>
            <family val="0"/>
          </rPr>
          <t>Katherine M Sheets:</t>
        </r>
        <r>
          <rPr>
            <sz val="8"/>
            <rFont val="Tahoma"/>
            <family val="0"/>
          </rPr>
          <t xml:space="preserve">
From rear tire on the ground
</t>
        </r>
      </text>
    </comment>
    <comment ref="AJ2" authorId="1">
      <text>
        <r>
          <rPr>
            <b/>
            <sz val="8"/>
            <rFont val="Tahoma"/>
            <family val="0"/>
          </rPr>
          <t>Katherine M Sheets:</t>
        </r>
        <r>
          <rPr>
            <sz val="8"/>
            <rFont val="Tahoma"/>
            <family val="0"/>
          </rPr>
          <t xml:space="preserve">
with rear tire on the ground. Horizontal distance
</t>
        </r>
      </text>
    </comment>
    <comment ref="AK2" authorId="1">
      <text>
        <r>
          <rPr>
            <b/>
            <sz val="8"/>
            <rFont val="Tahoma"/>
            <family val="0"/>
          </rPr>
          <t>Katherine M Sheets:</t>
        </r>
        <r>
          <rPr>
            <sz val="8"/>
            <rFont val="Tahoma"/>
            <family val="0"/>
          </rPr>
          <t xml:space="preserve">
Depending on what loader and position of loader
</t>
        </r>
      </text>
    </comment>
    <comment ref="AZ2" authorId="1">
      <text>
        <r>
          <rPr>
            <b/>
            <sz val="8"/>
            <rFont val="Tahoma"/>
            <family val="0"/>
          </rPr>
          <t>Katherine M Sheets:</t>
        </r>
        <r>
          <rPr>
            <sz val="8"/>
            <rFont val="Tahoma"/>
            <family val="0"/>
          </rPr>
          <t xml:space="preserve">
Distance from rear axle to COG of Ballast box
</t>
        </r>
      </text>
    </comment>
  </commentList>
</comments>
</file>

<file path=xl/sharedStrings.xml><?xml version="1.0" encoding="utf-8"?>
<sst xmlns="http://schemas.openxmlformats.org/spreadsheetml/2006/main" count="1770" uniqueCount="564">
  <si>
    <t>Front Axle</t>
  </si>
  <si>
    <t>mass</t>
  </si>
  <si>
    <t>COG location</t>
  </si>
  <si>
    <t>Xg</t>
  </si>
  <si>
    <t>Yg</t>
  </si>
  <si>
    <t>Payload</t>
  </si>
  <si>
    <t>2WD</t>
  </si>
  <si>
    <t>@ Ground</t>
  </si>
  <si>
    <t>@ Full Height</t>
  </si>
  <si>
    <t>Loader</t>
  </si>
  <si>
    <t>Tire Mass (kg)</t>
  </si>
  <si>
    <t>@ Mast Height</t>
  </si>
  <si>
    <t>Remainder</t>
  </si>
  <si>
    <t>Mounting Frame &amp; Mast</t>
  </si>
  <si>
    <t>Csys RWheel to GND</t>
  </si>
  <si>
    <t>Mounting Frames</t>
  </si>
  <si>
    <t>kg/front</t>
  </si>
  <si>
    <t>kg/rear</t>
  </si>
  <si>
    <t>Operator Station</t>
  </si>
  <si>
    <t>Tractor Model</t>
  </si>
  <si>
    <t>Transmission</t>
  </si>
  <si>
    <t>PTO Horse Power (at 2300 RPM)</t>
  </si>
  <si>
    <t>RCI?</t>
  </si>
  <si>
    <t>Code</t>
  </si>
  <si>
    <t>563 SL</t>
  </si>
  <si>
    <t>673 NSL</t>
  </si>
  <si>
    <t>673 SL</t>
  </si>
  <si>
    <t>740 NSL</t>
  </si>
  <si>
    <t>740 SL</t>
  </si>
  <si>
    <t>741 NSL</t>
  </si>
  <si>
    <t>741 SL</t>
  </si>
  <si>
    <t>Basic tire size</t>
  </si>
  <si>
    <t>model #</t>
  </si>
  <si>
    <t>563 NSL</t>
  </si>
  <si>
    <t>text</t>
  </si>
  <si>
    <t>Drawn ballasting</t>
  </si>
  <si>
    <t>dropdown text</t>
  </si>
  <si>
    <t>Wheel Mass (kg)</t>
  </si>
  <si>
    <t>type of wheels "S" - Steel, else "C" for Cast</t>
  </si>
  <si>
    <t>Data</t>
  </si>
  <si>
    <t>Limits</t>
  </si>
  <si>
    <t>Options</t>
  </si>
  <si>
    <t>Tractor Name</t>
  </si>
  <si>
    <t>Last updated</t>
  </si>
  <si>
    <t>TractorCOGX</t>
  </si>
  <si>
    <t>TractorCOGY</t>
  </si>
  <si>
    <t>Front Axle Mass</t>
  </si>
  <si>
    <t>Front Axle COGX</t>
  </si>
  <si>
    <t>Front Axle COGY</t>
  </si>
  <si>
    <t>Gross Vehicle Mass</t>
  </si>
  <si>
    <t>Front Axle Capacity</t>
  </si>
  <si>
    <t>Rear Axle Capacity</t>
  </si>
  <si>
    <t>Front Axle load</t>
  </si>
  <si>
    <t>Rear Axle Load</t>
  </si>
  <si>
    <t>Rear Axle Load check</t>
  </si>
  <si>
    <t>Ballast Box COGX</t>
  </si>
  <si>
    <t>Ballast Box COGY</t>
  </si>
  <si>
    <t>Loader Mounting Frame COGX</t>
  </si>
  <si>
    <t>Loader Mounting Frame COGY</t>
  </si>
  <si>
    <t>6100 D</t>
  </si>
  <si>
    <t>CAB</t>
  </si>
  <si>
    <t>TSS</t>
  </si>
  <si>
    <t>TSS-PWR REV</t>
  </si>
  <si>
    <t>OOS</t>
  </si>
  <si>
    <t>MFWD</t>
  </si>
  <si>
    <t>6115 D</t>
  </si>
  <si>
    <t>6130 D</t>
  </si>
  <si>
    <t>6140 D</t>
  </si>
  <si>
    <t>S+</t>
  </si>
  <si>
    <t>PQ+</t>
  </si>
  <si>
    <t>PQ</t>
  </si>
  <si>
    <t>Premium</t>
  </si>
  <si>
    <t>AQ+</t>
  </si>
  <si>
    <t>MFWD TLS</t>
  </si>
  <si>
    <t>6330</t>
  </si>
  <si>
    <t>IVT</t>
  </si>
  <si>
    <t>6430</t>
  </si>
  <si>
    <t>7130</t>
  </si>
  <si>
    <t>7230</t>
  </si>
  <si>
    <t>7330</t>
  </si>
  <si>
    <t>7430</t>
  </si>
  <si>
    <t>Key</t>
  </si>
  <si>
    <t>Formulas</t>
  </si>
  <si>
    <t>Valid combination</t>
  </si>
  <si>
    <t>PREMIUM</t>
  </si>
  <si>
    <t>Ballast Box</t>
  </si>
  <si>
    <t>RCI</t>
  </si>
  <si>
    <t>RC (kg)</t>
  </si>
  <si>
    <t>For Code 0200 (2WD): </t>
  </si>
  <si>
    <t>7.50-18 In.  8PR  F2  Bias </t>
  </si>
  <si>
    <t> 4703</t>
  </si>
  <si>
    <t>7.50-20 In. 8PR F2 Bias </t>
  </si>
  <si>
    <t> 4721</t>
  </si>
  <si>
    <t>27/9.5-15 In.  6PR  I1  Bias </t>
  </si>
  <si>
    <t> 4747</t>
  </si>
  <si>
    <t>10.00-16 In.  10PR  F2  Bias </t>
  </si>
  <si>
    <t> 4782</t>
  </si>
  <si>
    <t>11L-15 In.  8PR  F2  Bias </t>
  </si>
  <si>
    <t> 4802</t>
  </si>
  <si>
    <t>11L-15 In.  8PR  F3  Bias </t>
  </si>
  <si>
    <t> 4804</t>
  </si>
  <si>
    <t>11L-16 In.  8PR  F3  Bias </t>
  </si>
  <si>
    <t> 4822</t>
  </si>
  <si>
    <t>11L-16 In.  12PR  F3  Bias </t>
  </si>
  <si>
    <t> 4824</t>
  </si>
  <si>
    <t>9.5L-15 In.  8PR  F2  Bias </t>
  </si>
  <si>
    <t> 4853</t>
  </si>
  <si>
    <t>11.00-16 In.  12PR  F2  Bias </t>
  </si>
  <si>
    <t> 6055</t>
  </si>
  <si>
    <t>14L-16.1 In.  10PR  F2  Bias </t>
  </si>
  <si>
    <t> 6051</t>
  </si>
  <si>
    <t>14L-16.1 In.  12PR  F2 Bias </t>
  </si>
  <si>
    <t> 6053</t>
  </si>
  <si>
    <t>11.00-20 In.  12PR  F2  Bias </t>
  </si>
  <si>
    <t> 6056</t>
  </si>
  <si>
    <t>10.00-16 In.  6PR  F2  Bias </t>
  </si>
  <si>
    <t>For Code 0250 (MFWD): </t>
  </si>
  <si>
    <t>280/70R16 In.  112A8  R1W  Radial </t>
  </si>
  <si>
    <t> 4021</t>
  </si>
  <si>
    <t>10.5/80-18 In.  10PR  I3  Bias </t>
  </si>
  <si>
    <t> 4042</t>
  </si>
  <si>
    <t>11.2R24 In.  114A8  R1W  Radial
(280/85R24 In.  115A8  R1W  Radial) </t>
  </si>
  <si>
    <t> 4133</t>
  </si>
  <si>
    <t>12.4R24 In.  119A8  R1W  Radial </t>
  </si>
  <si>
    <t> 4146</t>
  </si>
  <si>
    <t>12.4R24 In.  119A8  R1W  Radial
(320/85/R24 In.  122A8  R1W  Radial) </t>
  </si>
  <si>
    <t> 4149</t>
  </si>
  <si>
    <t>13.6-24 In.  10PR  R4  Bias </t>
  </si>
  <si>
    <t> 4165</t>
  </si>
  <si>
    <t>13.6R24 In.  121A8  R1W  Radial </t>
  </si>
  <si>
    <t> 4166</t>
  </si>
  <si>
    <t>13.6R24 In.  128A8  R1W  Radial </t>
  </si>
  <si>
    <t> 4168</t>
  </si>
  <si>
    <t>380/70R24 In.  125A8  R1W  Radial </t>
  </si>
  <si>
    <t> 4183</t>
  </si>
  <si>
    <t>12.4R28 121A8  R1W  Radial </t>
  </si>
  <si>
    <t> 4226</t>
  </si>
  <si>
    <t>12.4R28 In.  121A8  R1W  Radial </t>
  </si>
  <si>
    <t> 4229</t>
  </si>
  <si>
    <t>14.9R24 In.  126A8  R1W  Radial </t>
  </si>
  <si>
    <t> 4246</t>
  </si>
  <si>
    <t>14.9R24 In.  126A8  R1W  Radial
 </t>
  </si>
  <si>
    <t> 4249</t>
  </si>
  <si>
    <t>420/70R24 In.  130A8  R1W  Radial </t>
  </si>
  <si>
    <t> 4263</t>
  </si>
  <si>
    <t>13.6R28 In.  123A8  R1W  Radial </t>
  </si>
  <si>
    <t> 4306</t>
  </si>
  <si>
    <t>13.6R28 In.  123A8  R1W  Radial
 </t>
  </si>
  <si>
    <t> 4308</t>
  </si>
  <si>
    <t>13.6-38 In.  6PR  R2  Bias </t>
  </si>
  <si>
    <t> 4603</t>
  </si>
  <si>
    <t>16.9R24 In.  134A8  R1W  Radial </t>
  </si>
  <si>
    <t> 4366</t>
  </si>
  <si>
    <t> 4369</t>
  </si>
  <si>
    <t>480/70R24 In.  138A8  R1W  Radial </t>
  </si>
  <si>
    <t> 4383</t>
  </si>
  <si>
    <t>540/65R24 In.  140A8  R1W  Radial </t>
  </si>
  <si>
    <t> 4403</t>
  </si>
  <si>
    <t> 4406</t>
  </si>
  <si>
    <t>320/90R42 In.  139A8  R1W  Radial </t>
  </si>
  <si>
    <t> 4216</t>
  </si>
  <si>
    <t>16.9-24 In.  6PR  R3  Bias </t>
  </si>
  <si>
    <t>16.9R26 In.  135A8  R1  Radial </t>
  </si>
  <si>
    <t> 6174</t>
  </si>
  <si>
    <t>16.9R28 In.  136A8  R1W  Radial </t>
  </si>
  <si>
    <t> 6176</t>
  </si>
  <si>
    <t>13.6-24 In.  6PR  R1  Bias </t>
  </si>
  <si>
    <t>14.9-24 In.  8PR  R1  Bias </t>
  </si>
  <si>
    <t>RCI Group 39 Size Tires
Two Multi-Position Steel Wheels </t>
  </si>
  <si>
    <t>16.9R24 In.  6PR  R3  Bias </t>
  </si>
  <si>
    <t> 6073</t>
  </si>
  <si>
    <t>13.6R28 In.  138A8  R1  Radial </t>
  </si>
  <si>
    <t> 6165</t>
  </si>
  <si>
    <t>RCI Group 40 Size Tires
Two Multi-Position Steel Wheels </t>
  </si>
  <si>
    <t>380/85R28 In.  133A8  R1  Radial
(14.9R28 In.  133A8  R1  Radial) </t>
  </si>
  <si>
    <t> 6210</t>
  </si>
  <si>
    <t>RCI Group 41 Size Tires
Two Multi-Position Wheels </t>
  </si>
  <si>
    <t>320/85R34 In.  133A8  R1  Radial </t>
  </si>
  <si>
    <t> 6151</t>
  </si>
  <si>
    <t>380/85R30 In.  135A8  R1W  Radial </t>
  </si>
  <si>
    <t> 6213</t>
  </si>
  <si>
    <t>380/85R30 In.  135A8  R1  Radial </t>
  </si>
  <si>
    <t> 6211</t>
  </si>
  <si>
    <t>420/85R28 In.  139A8  R1  Radial </t>
  </si>
  <si>
    <t> 6212</t>
  </si>
  <si>
    <t>290/95R34 In.  131A8  R1  Radial </t>
  </si>
  <si>
    <t> 6160</t>
  </si>
  <si>
    <t>540/65R28 In.  142A8  R1W  Radial </t>
  </si>
  <si>
    <t> 6025</t>
  </si>
  <si>
    <t>16.9R28 In.  136A8  R2  Radial </t>
  </si>
  <si>
    <t> 6175</t>
  </si>
  <si>
    <t>RCI Group 42 Size Tires
Two Multi-Position Steel Wheels </t>
  </si>
  <si>
    <t>290/90R38 In.  138A8  R1W  Radial </t>
  </si>
  <si>
    <t> 6144</t>
  </si>
  <si>
    <t>320/85R38 In.  138A8  R1W  Radial </t>
  </si>
  <si>
    <t> 6159</t>
  </si>
  <si>
    <t>380/85R34 In.  137A8  R1  Radial </t>
  </si>
  <si>
    <t> 6158</t>
  </si>
  <si>
    <t>380/85R34 In.  137A8  R1W  Radial </t>
  </si>
  <si>
    <t> 6204</t>
  </si>
  <si>
    <t>420/90R30 In.  142A8  R1W  Radial </t>
  </si>
  <si>
    <t> 6205</t>
  </si>
  <si>
    <t>420/90R30 In.  142A8  R1  Radial </t>
  </si>
  <si>
    <t> 6164</t>
  </si>
  <si>
    <t>480/70R30 In.  152A8  R1W  Radial </t>
  </si>
  <si>
    <t> 6180</t>
  </si>
  <si>
    <t>16.9R30 In.  144A8  R1W  Radial </t>
  </si>
  <si>
    <t> 6191</t>
  </si>
  <si>
    <t>16.9R30 In.  141A8  R2  Radial </t>
  </si>
  <si>
    <t> 6193</t>
  </si>
  <si>
    <t>600/65R28 In.  147A8  R1W  Radial </t>
  </si>
  <si>
    <t> 6198</t>
  </si>
  <si>
    <t> 6208</t>
  </si>
  <si>
    <t>RCI Group 45 Size Tires
Listed Narrowest to Widest </t>
  </si>
  <si>
    <t>320/90R46 In.  148A8  R1W  Radial </t>
  </si>
  <si>
    <t> 6007</t>
  </si>
  <si>
    <t>320/90R46 In.  148A8  R2  Radial </t>
  </si>
  <si>
    <t> 6005</t>
  </si>
  <si>
    <t>RCI Group 46 Size Tires
Listed Narrowest to Widest </t>
  </si>
  <si>
    <t>320/90R50 In.  147A8  R1W  Radial </t>
  </si>
  <si>
    <t> 6009</t>
  </si>
  <si>
    <t>18.4-38 In.  8PR  R1  Bias </t>
  </si>
  <si>
    <t>18.4-34 In.  8PR  R1  Bias </t>
  </si>
  <si>
    <t>16.9X38 In.  8PR  R1  Bias </t>
  </si>
  <si>
    <t>21.5L-16.1 In.  R3  6PR </t>
  </si>
  <si>
    <t>21.5L-16 In.  I-2  6PR </t>
  </si>
  <si>
    <t> 1029</t>
  </si>
  <si>
    <t>16.9-24 In.  6PR  R3 </t>
  </si>
  <si>
    <t> 1061</t>
  </si>
  <si>
    <t>16.9R24 In.  134A8  R1W  Radial
(420/85R24 In.  137A8  R1W  Radial) </t>
  </si>
  <si>
    <t> 1067</t>
  </si>
  <si>
    <t>18.4-26 In.  6PR  R3  Bias </t>
  </si>
  <si>
    <t> 1081</t>
  </si>
  <si>
    <t>/</t>
  </si>
  <si>
    <t>18.4R26 In.  140A8  R1W  Radial </t>
  </si>
  <si>
    <t> 1087</t>
  </si>
  <si>
    <t>16.9R30 In.  137A8  R1W  Radial </t>
  </si>
  <si>
    <t> 1104</t>
  </si>
  <si>
    <t> 1107</t>
  </si>
  <si>
    <t>18.4R30 In.  142A8  R1W  Radial </t>
  </si>
  <si>
    <t>18.4R30 In.  142A8  R1W  Radial
(460/85R30 In.  145A8  R1W  Radial) </t>
  </si>
  <si>
    <t> 1127</t>
  </si>
  <si>
    <t>16.9R34 In.  139A8  R1W  Radial </t>
  </si>
  <si>
    <t> 1204</t>
  </si>
  <si>
    <t>16.9-34 In.  10PR  R4  Bias </t>
  </si>
  <si>
    <t> 1205</t>
  </si>
  <si>
    <t>16.9R34 In.  139A8  R1W  Radial
(420/85R34 In.  139A8  R1W  Radial) </t>
  </si>
  <si>
    <t> 1207</t>
  </si>
  <si>
    <t>480/70R34 In.  143A8  R1W  Radial </t>
  </si>
  <si>
    <t> 1223</t>
  </si>
  <si>
    <t>14.9R38 In.  133A8  R1W  Radial </t>
  </si>
  <si>
    <t> 1244</t>
  </si>
  <si>
    <t>18.4R34 In.  144A8  R1W  Radial </t>
  </si>
  <si>
    <t> 1284</t>
  </si>
  <si>
    <t>18.4R34 In.  144A8  R1W  Radial
(460/85R34 In.  147A8  R1W  Radial) </t>
  </si>
  <si>
    <t> 1288</t>
  </si>
  <si>
    <t>520/70R34 In.  148A8  R1W  Radial </t>
  </si>
  <si>
    <t> 1303</t>
  </si>
  <si>
    <t>16.9R38 In.  141A8  R1W  Radial </t>
  </si>
  <si>
    <t> 1324</t>
  </si>
  <si>
    <t>16.9R38 In.  141A8  R1W  Radial
(420/85R38 In.  144A8  R1W  Radial) </t>
  </si>
  <si>
    <t> 1327</t>
  </si>
  <si>
    <t>480/70R38 In.  145A8  R1W  Radial </t>
  </si>
  <si>
    <t> 1343</t>
  </si>
  <si>
    <t>18.4R38 In.  146A8  R1W  Radial </t>
  </si>
  <si>
    <t> 1424</t>
  </si>
  <si>
    <t>18.4R38 In.  146A8  R1W  Radial
(460/85R38 In.  149A8  R1W  Radial) </t>
  </si>
  <si>
    <t> 1425</t>
  </si>
  <si>
    <t>13.6-46 In.  6PR  R2  Bias </t>
  </si>
  <si>
    <t> 1264</t>
  </si>
  <si>
    <t>520/70R38 In.  150A8  R1W  Radial </t>
  </si>
  <si>
    <t> 1443</t>
  </si>
  <si>
    <t>600/65R38 In.  153A8  R1W  Radial </t>
  </si>
  <si>
    <t> 1463</t>
  </si>
  <si>
    <t> 1464</t>
  </si>
  <si>
    <t>320/90R54 In.  149A8  R1W  Radial </t>
  </si>
  <si>
    <t> 1276</t>
  </si>
  <si>
    <t>24.5-32 In.  12PR  R3  Bias </t>
  </si>
  <si>
    <t> 1493</t>
  </si>
  <si>
    <t>  /</t>
  </si>
  <si>
    <t>RCI Group 46 Size Tires </t>
  </si>
  <si>
    <t>14.9R46 In.  142A8  R1  Radial </t>
  </si>
  <si>
    <t> 4255</t>
  </si>
  <si>
    <t>18.4R42 In.  148A8  R1W  Radial </t>
  </si>
  <si>
    <t> 4244</t>
  </si>
  <si>
    <t>480/80R42 In.  151A8  R1  Radial
(18.4R42 In.  151A8  R1  Radial) </t>
  </si>
  <si>
    <t> 4211</t>
  </si>
  <si>
    <t>480/80R42 In.  151A8  R1W  Radial </t>
  </si>
  <si>
    <t> 4214</t>
  </si>
  <si>
    <t>20.8R38 In.  153A8  R1  Radial </t>
  </si>
  <si>
    <t> 4237</t>
  </si>
  <si>
    <t>520/85R38 In.  155A8  R1  Radial
(20.8R38 In.  155A8  R1  Radial) </t>
  </si>
  <si>
    <t> 4205</t>
  </si>
  <si>
    <t> 4602</t>
  </si>
  <si>
    <t> 4355</t>
  </si>
  <si>
    <t> 4367</t>
  </si>
  <si>
    <t> 4274</t>
  </si>
  <si>
    <t>420/80R46 In.  151A8  R1  Radial </t>
  </si>
  <si>
    <t> 4259</t>
  </si>
  <si>
    <t> 4272</t>
  </si>
  <si>
    <t>650/65R38 In.  157A8  R1W  Radial </t>
  </si>
  <si>
    <t>18.4R42 In.  148A8  R2  Radial </t>
  </si>
  <si>
    <t> 4248</t>
  </si>
  <si>
    <t> 4302</t>
  </si>
  <si>
    <t>Two Steel Wheels and Hubs: </t>
  </si>
  <si>
    <t> 4902</t>
  </si>
  <si>
    <t> 4955</t>
  </si>
  <si>
    <t>14.9R46 In.  ***  R1  Radial </t>
  </si>
  <si>
    <t> 4974</t>
  </si>
  <si>
    <t> 4959</t>
  </si>
  <si>
    <t> 4972</t>
  </si>
  <si>
    <t> 4911</t>
  </si>
  <si>
    <t> 4944</t>
  </si>
  <si>
    <t> 4914</t>
  </si>
  <si>
    <t>Two Steel Wheels: </t>
  </si>
  <si>
    <t>RCI Group 44 Size Tires </t>
  </si>
  <si>
    <t> 4307</t>
  </si>
  <si>
    <t>18.4R34 In.  139A8  R1  Radial </t>
  </si>
  <si>
    <t> 4622</t>
  </si>
  <si>
    <t>RCI Group 45 Size Tires </t>
  </si>
  <si>
    <t>480/80R38 In.  149A8  R1  Radial
(18.4R38 In.  149A8  R1  Radial) </t>
  </si>
  <si>
    <t> 4632</t>
  </si>
  <si>
    <t>18.4R38 In.  149A8  R1W  Radial </t>
  </si>
  <si>
    <t> 4625</t>
  </si>
  <si>
    <t> 4325</t>
  </si>
  <si>
    <t> 4225</t>
  </si>
  <si>
    <t>480/80R38 In.  149A8  R1  Radial
(18.4R38 In.  146A8  R1  Radial) </t>
  </si>
  <si>
    <t> 4605</t>
  </si>
  <si>
    <t>18.4R38 In.  141A8  R2  Radial </t>
  </si>
  <si>
    <t> 4633</t>
  </si>
  <si>
    <t> 4925</t>
  </si>
  <si>
    <t> 4908</t>
  </si>
  <si>
    <t> 4305</t>
  </si>
  <si>
    <t>RCI Group 47 Size Tires
Listed Narrowest to Widest </t>
  </si>
  <si>
    <t> 4210</t>
  </si>
  <si>
    <t>380/90R50 In.  151A8  R1W  Radial </t>
  </si>
  <si>
    <t> 4209</t>
  </si>
  <si>
    <t>480/80R46 In.  158A8  R1  Radial </t>
  </si>
  <si>
    <t> 4279</t>
  </si>
  <si>
    <t>20.8R42 In.  155A8  R1W  Radial </t>
  </si>
  <si>
    <t> 4253</t>
  </si>
  <si>
    <t>18.4R46 In.  155A8  R2  Radial </t>
  </si>
  <si>
    <t> 4258</t>
  </si>
  <si>
    <t>20.8R42 In.  155A8  R2  Radial </t>
  </si>
  <si>
    <t> 4256</t>
  </si>
  <si>
    <t>710/70R38 In.  166A8  R1W  Radial </t>
  </si>
  <si>
    <t> 4280</t>
  </si>
  <si>
    <t> 4212</t>
  </si>
  <si>
    <t>520/85R42 In.  157A8  R1W  Radial </t>
  </si>
  <si>
    <t> 4207</t>
  </si>
  <si>
    <t>520/85R42 In.  157A8  R1  Radial </t>
  </si>
  <si>
    <t> 4276</t>
  </si>
  <si>
    <t>620/70R42 In.  160A8  R1W  Radial </t>
  </si>
  <si>
    <t> 4287</t>
  </si>
  <si>
    <t>DUAL REAR WHEELS AND TIRES </t>
  </si>
  <si>
    <t>No Duals </t>
  </si>
  <si>
    <t> 4900</t>
  </si>
  <si>
    <t>  </t>
  </si>
  <si>
    <t>Dual Hubs Only </t>
  </si>
  <si>
    <t> 4901</t>
  </si>
  <si>
    <t>Change to MM</t>
  </si>
  <si>
    <t>Stat Load
Radius (mm)</t>
  </si>
  <si>
    <t>Rolling Circumference (mm)</t>
  </si>
  <si>
    <t>Stat Load
Radius (in)</t>
  </si>
  <si>
    <t>Rolling Circumference (in)</t>
  </si>
  <si>
    <t>Tire Mass (lb)</t>
  </si>
  <si>
    <r>
      <t>REAR WHEELS and TIRES</t>
    </r>
    <r>
      <rPr>
        <sz val="9"/>
        <rFont val="Arial"/>
        <family val="2"/>
      </rPr>
      <t xml:space="preserve">
Basic tire size</t>
    </r>
  </si>
  <si>
    <t>COG location 
Xg</t>
  </si>
  <si>
    <t>changed weight with code added</t>
  </si>
  <si>
    <t>COG</t>
  </si>
  <si>
    <t>mass of added
 weight (kg)</t>
  </si>
  <si>
    <t>codes</t>
  </si>
  <si>
    <t>code description</t>
  </si>
  <si>
    <t>Field installed note</t>
  </si>
  <si>
    <t>6D Front Weight Support Bracket</t>
  </si>
  <si>
    <t xml:space="preserve">Front Weight support </t>
  </si>
  <si>
    <t>Quick-Tatch Weight Support Less Weights</t>
  </si>
  <si>
    <t>Quick-Tatch Weight Support with 4 weights</t>
  </si>
  <si>
    <t>Quick-Tatch Weight Support with 6 weights</t>
  </si>
  <si>
    <t>Quick-Tatch Weight Support with 8 weights</t>
  </si>
  <si>
    <t>Quick-Tatch Weight Support with 10 weights</t>
  </si>
  <si>
    <t>Quick-Tatch Weight Support with 12 weights</t>
  </si>
  <si>
    <t>Quick-Tatch Weight Support with 14 weights</t>
  </si>
  <si>
    <t>Quick-Tatch Weight Support with 18 weights</t>
  </si>
  <si>
    <t>Two Rear Wheel Weights</t>
  </si>
  <si>
    <t>Four Rear Wheel Weights</t>
  </si>
  <si>
    <t>Six Rear Wheel Weights</t>
  </si>
  <si>
    <t>Eight Rear Wheel Weights</t>
  </si>
  <si>
    <t>One Pair 205 kg (450 Lb.) Cast Wheel Only </t>
  </si>
  <si>
    <t>One Pair 75 kg (165 Lb.) and One Pair 205 kg (450 Lb.) </t>
  </si>
  <si>
    <t>One Set Rear Wheel Weights 170 lb (77 kg) </t>
  </si>
  <si>
    <t>Two Set Rear Wheel Weights 340 lb (154 kg) </t>
  </si>
  <si>
    <t>Three Set Rear Wheel Weights 510 lb (231 kg) </t>
  </si>
  <si>
    <t>One Set Rear Wheel Weights 242 lb (110 kg) </t>
  </si>
  <si>
    <t>Two Set Rear Wheel Weights 485 lb (220 kg) </t>
  </si>
  <si>
    <t>Consisting of (4) L28228</t>
  </si>
  <si>
    <t>One Wheel Weight 65kg</t>
  </si>
  <si>
    <t>Consisting of (4) R56920</t>
  </si>
  <si>
    <t>One Wheel Weight 50kg</t>
  </si>
  <si>
    <t>One Wheel Weight 75kg</t>
  </si>
  <si>
    <t>One Wheel Weight 205kg</t>
  </si>
  <si>
    <t>x</t>
  </si>
  <si>
    <t>Ref #</t>
  </si>
  <si>
    <t>Drop Dwn Option</t>
  </si>
  <si>
    <t>(1)- R127764</t>
  </si>
  <si>
    <t>(2)- R127764</t>
  </si>
  <si>
    <t>(8)- R127764</t>
  </si>
  <si>
    <t>(3)- R127764</t>
  </si>
  <si>
    <t>(4)- R127764</t>
  </si>
  <si>
    <t>(5)- R127764</t>
  </si>
  <si>
    <t>(6)- R127764</t>
  </si>
  <si>
    <t>(7)- R127764</t>
  </si>
  <si>
    <t>(9)- R127764</t>
  </si>
  <si>
    <t>(10)- R127764</t>
  </si>
  <si>
    <t>(11)- R127764</t>
  </si>
  <si>
    <t>(12)- R127764</t>
  </si>
  <si>
    <t>(13)- R127764</t>
  </si>
  <si>
    <t>(14)- R127764</t>
  </si>
  <si>
    <t>(15)- R127764</t>
  </si>
  <si>
    <t>(16)- R127764</t>
  </si>
  <si>
    <t>(17)- R127764</t>
  </si>
  <si>
    <t>(18)- R127764</t>
  </si>
  <si>
    <t>(19)- R127764</t>
  </si>
  <si>
    <t>No Loader</t>
  </si>
  <si>
    <t>WP16011033</t>
  </si>
  <si>
    <t>Portland Cement</t>
  </si>
  <si>
    <t>Sand (Dry)</t>
  </si>
  <si>
    <t>Concrete</t>
  </si>
  <si>
    <t>Material</t>
  </si>
  <si>
    <t>Total</t>
  </si>
  <si>
    <t>Empty Box</t>
  </si>
  <si>
    <t>lbs</t>
  </si>
  <si>
    <t>kg</t>
  </si>
  <si>
    <t xml:space="preserve">Portland Cement </t>
  </si>
  <si>
    <t xml:space="preserve">Concrete </t>
  </si>
  <si>
    <t>Empty Box (WP16011033)</t>
  </si>
  <si>
    <t>Box w/ Sand</t>
  </si>
  <si>
    <t>Box w/ Concrete</t>
  </si>
  <si>
    <t>Box w/ Porland Cement</t>
  </si>
  <si>
    <t>No Ballast Box</t>
  </si>
  <si>
    <t>Drop Down Options</t>
  </si>
  <si>
    <t>Front Weights</t>
  </si>
  <si>
    <t>Front Weights Added</t>
  </si>
  <si>
    <t>Rear Wheel Type (Cast or Steel)</t>
  </si>
  <si>
    <t>BASE TRACTOR WEIGHT</t>
  </si>
  <si>
    <t>Rear Duals (yes or no)</t>
  </si>
  <si>
    <t>Rear Wheel Weights Added</t>
  </si>
  <si>
    <t>Ballast Calculator Instructions:</t>
  </si>
  <si>
    <t>No rear wheel weights</t>
  </si>
  <si>
    <t>None</t>
  </si>
  <si>
    <t>No Front weights</t>
  </si>
  <si>
    <t>Vaild Tractor Configuration?</t>
  </si>
  <si>
    <t>No Implement</t>
  </si>
  <si>
    <t>Yes</t>
  </si>
  <si>
    <t>Rear Tire Size (kg)</t>
  </si>
  <si>
    <t>Front Tire Size (kg)</t>
  </si>
  <si>
    <t>Duals</t>
  </si>
  <si>
    <t>No</t>
  </si>
  <si>
    <t>Weight Balance</t>
  </si>
  <si>
    <t>Loader Weight Balance</t>
  </si>
  <si>
    <t>ImplementDrawn Distance (mm)</t>
  </si>
  <si>
    <t>Weight Discription</t>
  </si>
  <si>
    <t>Front Weight difference w/ BB</t>
  </si>
  <si>
    <t>Rear weight Difference w/ BB</t>
  </si>
  <si>
    <t>Rear weight check</t>
  </si>
  <si>
    <t>% SPLIT</t>
  </si>
  <si>
    <t>Field Installed Ballasting Options</t>
  </si>
  <si>
    <t>Front Weights (Quantity 20) R127764</t>
  </si>
  <si>
    <t>Front Weights (Quantity 1) R127764</t>
  </si>
  <si>
    <t>Front Weights (Quantity 2) R127764</t>
  </si>
  <si>
    <t>Front Weights (Quantity 3) R127764</t>
  </si>
  <si>
    <t>Front Weights (Quantity 4) R127764</t>
  </si>
  <si>
    <t>Front Weights (Quantity 5) R127764</t>
  </si>
  <si>
    <t>Front Weights (Quantity 6) R127764</t>
  </si>
  <si>
    <t>Front Weights (Quantity 7) R127764</t>
  </si>
  <si>
    <t>Front Weights (Quantity 8) R127764</t>
  </si>
  <si>
    <t>Front Weights (Quantity 9) R127764</t>
  </si>
  <si>
    <t>Front Weights (Quantity 10) R127764</t>
  </si>
  <si>
    <t>Front Weights (Quantity 11) R127764</t>
  </si>
  <si>
    <t>Front Weights (Quantity 12) R127764</t>
  </si>
  <si>
    <t>Front Weights (Quantity 13) R127764</t>
  </si>
  <si>
    <t>Front Weights (Quantity 14) R127764</t>
  </si>
  <si>
    <t>Front Weights (Quantity 15) R127764</t>
  </si>
  <si>
    <t>Front Weights (Quantity 16) R127764</t>
  </si>
  <si>
    <t>Front Weights (Quantity 17) R127764</t>
  </si>
  <si>
    <t>Front Weights (Quantity 18) R127764</t>
  </si>
  <si>
    <t>Front Weights (Quantity 19) R127764</t>
  </si>
  <si>
    <t>** The grand total weight of the front and rear of the tractor will be calculated in addition to the weight split of the tractor.</t>
  </si>
  <si>
    <t>~ Scroll Down to use Ballast Calculator</t>
  </si>
  <si>
    <t xml:space="preserve">     * The weight split of the tractor with a loader is calculated before any additional ballast.</t>
  </si>
  <si>
    <t>Total Weight of Tractor-kg</t>
  </si>
  <si>
    <t>X-Horizontal (mm)</t>
  </si>
  <si>
    <t>Total Loader Mass</t>
  </si>
  <si>
    <t>Kg/rear Check</t>
  </si>
  <si>
    <t>@ Mast</t>
  </si>
  <si>
    <t>@ Full</t>
  </si>
  <si>
    <t>Loader kg/front</t>
  </si>
  <si>
    <t>Valid Loader kg/front</t>
  </si>
  <si>
    <t>Loader kg/rear</t>
  </si>
  <si>
    <t>Valid Loader kg/rear</t>
  </si>
  <si>
    <t>implement kg/front</t>
  </si>
  <si>
    <t>implementkg/rear</t>
  </si>
  <si>
    <t>Fnt Weight kg/front</t>
  </si>
  <si>
    <t>Fnt Weights kg/rear</t>
  </si>
  <si>
    <t>Valid front weights kg/rear</t>
  </si>
  <si>
    <t>rear weights kg/front</t>
  </si>
  <si>
    <t>rear weights kg/rear</t>
  </si>
  <si>
    <t>Ballast Box kg/front</t>
  </si>
  <si>
    <t>Ballast Box distance (x)</t>
  </si>
  <si>
    <t>Ballast Box kg/rear</t>
  </si>
  <si>
    <t>Valid Ballast Box kg/rear</t>
  </si>
  <si>
    <t>Calculator Units</t>
  </si>
  <si>
    <t>calculator Units</t>
  </si>
  <si>
    <t>Lbs</t>
  </si>
  <si>
    <t>Kg</t>
  </si>
  <si>
    <r>
      <t>3.</t>
    </r>
    <r>
      <rPr>
        <sz val="10"/>
        <rFont val="Arial"/>
        <family val="0"/>
      </rPr>
      <t xml:space="preserve"> If the tractor is equipped with a loader, select the appropriate loader.</t>
    </r>
  </si>
  <si>
    <r>
      <t>1.</t>
    </r>
    <r>
      <rPr>
        <sz val="10"/>
        <rFont val="Arial"/>
        <family val="2"/>
      </rPr>
      <t xml:space="preserve"> Determine if you would like units calculated in Pounds (Lbs) or Kilograms (Kg).</t>
    </r>
  </si>
  <si>
    <r>
      <t>2.</t>
    </r>
    <r>
      <rPr>
        <sz val="10"/>
        <rFont val="Arial"/>
        <family val="0"/>
      </rPr>
      <t xml:space="preserve"> Use the drop-down menus to select your tractor and the appropriate configuration including:
            - Model, Operator Station, Front Axle, Transmission, Tire sizes and Duals
            - Check and see if your tractor configuration is Valid before you continue. 
     Notice the numbers in the columns to the right. The columns are calculating the total weight of the tractor without any
     additional ballast.</t>
    </r>
  </si>
  <si>
    <r>
      <t xml:space="preserve">    </t>
    </r>
    <r>
      <rPr>
        <sz val="10"/>
        <rFont val="Arial"/>
        <family val="0"/>
      </rPr>
      <t>Select the point at which you would like the loader ballast calculated:
            - At the ground, at mast height, or at full height</t>
    </r>
  </si>
  <si>
    <r>
      <t>5.</t>
    </r>
    <r>
      <rPr>
        <sz val="10"/>
        <rFont val="Arial"/>
        <family val="2"/>
      </rPr>
      <t xml:space="preserve"> Using the drop down menu, indicate how many front weights and/or wheel weights are installed on the tractor.</t>
    </r>
  </si>
  <si>
    <r>
      <t xml:space="preserve">6. </t>
    </r>
    <r>
      <rPr>
        <sz val="10"/>
        <rFont val="Arial"/>
        <family val="2"/>
      </rPr>
      <t>Using the drop down menu, indicate whether the tractor is using a ballast box for ballasting.
     - Indicate if the ballast box is empty or is filled with either sand, concrete or porland cement.</t>
    </r>
  </si>
  <si>
    <t>8060- Two Rear Wheel Weights</t>
  </si>
  <si>
    <t>8070- Four Rear Wheel Weights</t>
  </si>
  <si>
    <t>8080- Six Rear Wheel Weights</t>
  </si>
  <si>
    <t>8090- Eight Rear Wheel Weights</t>
  </si>
  <si>
    <t>9264-One Pair 205 kg (450 Lb.) Cast Wheel Only </t>
  </si>
  <si>
    <t>9292- One Pair 75 kg (165 Lb.) and One Pair 205 kg (450 Lb.)</t>
  </si>
  <si>
    <t>9284- One Pair 205 kg (450 Lb.) Cast Wheel Only</t>
  </si>
  <si>
    <t>9293- One Pair 75 kg (165 Lb.) and One Pair 205 kg (450 Lb.)</t>
  </si>
  <si>
    <t> 9520- One Set Rear Wheel Weights 170 lb (77 kg)</t>
  </si>
  <si>
    <t> 9521- Two Set Rear Wheel Weights 340 lb (154 kg)</t>
  </si>
  <si>
    <t> 9522- Three Set Rear Wheel Weights 510 lb (231 kg)</t>
  </si>
  <si>
    <t> 9525- One Set Rear Wheel Weights 242 lb (110 kg)</t>
  </si>
  <si>
    <t> 9526- Two Set Rear Wheel Weights 485 lb (220 kg)</t>
  </si>
  <si>
    <t>R61524- One Wheel Weight 65kg</t>
  </si>
  <si>
    <t>T21689- One Wheel Weight 50kg</t>
  </si>
  <si>
    <t>R167153- One Wheel Weight 75kg</t>
  </si>
  <si>
    <t>R207782- One Wheel Weight 205kg</t>
  </si>
  <si>
    <t>APY10029- (4) L28228 (480 lbs)</t>
  </si>
  <si>
    <t>AR112536- (4) R56920 (440 lbs)</t>
  </si>
  <si>
    <t>RFR127764- One front suitcase weight</t>
  </si>
  <si>
    <t>RE300838- Front Weight Support</t>
  </si>
  <si>
    <t>RE300840- Front Weight Support</t>
  </si>
  <si>
    <t>SJ291758- 6D Front Weight Support</t>
  </si>
  <si>
    <t>8210- 6D Front Weight Support Bracket</t>
  </si>
  <si>
    <t>8770- Front Weight Support</t>
  </si>
  <si>
    <t>9401- Quick-Tach Weight Support Less Weights</t>
  </si>
  <si>
    <t>9404- with 4 weights</t>
  </si>
  <si>
    <t>9406- with 6 weights</t>
  </si>
  <si>
    <t>9408- with 8 weights</t>
  </si>
  <si>
    <t>9410- with 10 weights</t>
  </si>
  <si>
    <t>9412- with 12 weights</t>
  </si>
  <si>
    <t>9414- with 14 weights</t>
  </si>
  <si>
    <t>9418- with 18 weights</t>
  </si>
  <si>
    <t>Implement</t>
  </si>
  <si>
    <t>Valid imp kg/rear: not used</t>
  </si>
  <si>
    <t>Small Implement (0-1050 kg or 0-2315 lbs)</t>
  </si>
  <si>
    <t>Medium Implement (1051-2100 kg or 2316-4628 lbs)</t>
  </si>
  <si>
    <t>Large Implement (2101-3150 kg or 4631-6944 lbs)</t>
  </si>
  <si>
    <r>
      <t xml:space="preserve">4. </t>
    </r>
    <r>
      <rPr>
        <sz val="10"/>
        <rFont val="Arial"/>
        <family val="0"/>
      </rPr>
      <t>If your tractor needs ballasting for the use of an implement, select the "Size" of your implement: Small, Medium or Large.
    Weight spits of the implement's size are indicated in the drop down box.
            -If your tractor is not being used with an implement, select 'No Implement'.</t>
    </r>
  </si>
  <si>
    <t>** Note: Weights calculated are approximate. There are many variables that determine the weight of a tractor.
   For exact weight splits, have your tractor weighed.</t>
  </si>
  <si>
    <t>** Refere to Operator's Manual for recommended weight splits per model.</t>
  </si>
  <si>
    <t>6D, 6030 and 7030 Series Small-Frame Ballast Calculator</t>
  </si>
  <si>
    <t>6D, 6030 and  7030 Series Small-Frame Ballast Calculator</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</si>
</sst>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2]\ #,##0.00_);[Red]\([$€-2]\ #,##0.00\)"/>
  </numFmts>
  <fonts count="23">
    <font>
      <sz val="10"/>
      <name val="Arial"/>
      <family val="0"/>
    </font>
    <font>
      <sz val="8"/>
      <name val="Arial"/>
      <family val="0"/>
    </font>
    <font>
      <u val="single"/>
      <sz val="8.5"/>
      <color indexed="36"/>
      <name val="Arial"/>
      <family val="0"/>
    </font>
    <font>
      <u val="single"/>
      <sz val="8.5"/>
      <color indexed="12"/>
      <name val="Arial"/>
      <family val="0"/>
    </font>
    <font>
      <sz val="12"/>
      <name val="Arial"/>
      <family val="0"/>
    </font>
    <font>
      <sz val="9"/>
      <name val="Arial"/>
      <family val="2"/>
    </font>
    <font>
      <sz val="9"/>
      <color indexed="10"/>
      <name val="Arial"/>
      <family val="2"/>
    </font>
    <font>
      <b/>
      <sz val="9"/>
      <name val="Arial"/>
      <family val="2"/>
    </font>
    <font>
      <b/>
      <sz val="9"/>
      <color indexed="10"/>
      <name val="Arial"/>
      <family val="2"/>
    </font>
    <font>
      <sz val="9"/>
      <color indexed="45"/>
      <name val="Arial"/>
      <family val="2"/>
    </font>
    <font>
      <b/>
      <sz val="9"/>
      <color indexed="12"/>
      <name val="Arial"/>
      <family val="2"/>
    </font>
    <font>
      <sz val="8"/>
      <name val="Tahoma"/>
      <family val="2"/>
    </font>
    <font>
      <sz val="10"/>
      <color indexed="9"/>
      <name val="Arial"/>
      <family val="0"/>
    </font>
    <font>
      <sz val="9"/>
      <color indexed="47"/>
      <name val="Arial"/>
      <family val="0"/>
    </font>
    <font>
      <b/>
      <sz val="8"/>
      <name val="Tahoma"/>
      <family val="0"/>
    </font>
    <font>
      <b/>
      <sz val="9.25"/>
      <name val="Arial"/>
      <family val="0"/>
    </font>
    <font>
      <sz val="10.25"/>
      <name val="Arial"/>
      <family val="0"/>
    </font>
    <font>
      <u val="single"/>
      <sz val="10"/>
      <name val="Arial"/>
      <family val="0"/>
    </font>
    <font>
      <b/>
      <sz val="10"/>
      <name val="Arial"/>
      <family val="0"/>
    </font>
    <font>
      <i/>
      <u val="single"/>
      <sz val="10"/>
      <name val="Arial"/>
      <family val="0"/>
    </font>
    <font>
      <sz val="10"/>
      <color indexed="10"/>
      <name val="Arial"/>
      <family val="0"/>
    </font>
    <font>
      <sz val="18"/>
      <name val="Arial Unicode MS"/>
      <family val="2"/>
    </font>
    <font>
      <b/>
      <sz val="8"/>
      <name val="Arial"/>
      <family val="2"/>
    </font>
  </fonts>
  <fills count="16">
    <fill>
      <patternFill/>
    </fill>
    <fill>
      <patternFill patternType="gray125"/>
    </fill>
    <fill>
      <patternFill patternType="solid">
        <fgColor indexed="46"/>
        <bgColor indexed="64"/>
      </patternFill>
    </fill>
    <fill>
      <patternFill patternType="solid">
        <fgColor indexed="44"/>
        <bgColor indexed="64"/>
      </patternFill>
    </fill>
    <fill>
      <patternFill patternType="solid">
        <fgColor indexed="45"/>
        <bgColor indexed="64"/>
      </patternFill>
    </fill>
    <fill>
      <patternFill patternType="solid">
        <fgColor indexed="19"/>
        <bgColor indexed="64"/>
      </patternFill>
    </fill>
    <fill>
      <patternFill patternType="solid">
        <fgColor indexed="42"/>
        <bgColor indexed="64"/>
      </patternFill>
    </fill>
    <fill>
      <patternFill patternType="solid">
        <fgColor indexed="49"/>
        <bgColor indexed="64"/>
      </patternFill>
    </fill>
    <fill>
      <patternFill patternType="solid">
        <fgColor indexed="14"/>
        <bgColor indexed="64"/>
      </patternFill>
    </fill>
    <fill>
      <patternFill patternType="solid">
        <fgColor indexed="43"/>
        <bgColor indexed="64"/>
      </patternFill>
    </fill>
    <fill>
      <patternFill patternType="solid">
        <fgColor indexed="11"/>
        <bgColor indexed="64"/>
      </patternFill>
    </fill>
    <fill>
      <patternFill patternType="solid">
        <fgColor indexed="41"/>
        <bgColor indexed="64"/>
      </patternFill>
    </fill>
    <fill>
      <patternFill patternType="solid">
        <fgColor indexed="8"/>
        <bgColor indexed="64"/>
      </patternFill>
    </fill>
    <fill>
      <patternFill patternType="solid">
        <fgColor indexed="22"/>
        <bgColor indexed="64"/>
      </patternFill>
    </fill>
    <fill>
      <patternFill patternType="solid">
        <fgColor indexed="15"/>
        <bgColor indexed="64"/>
      </patternFill>
    </fill>
    <fill>
      <patternFill patternType="solid">
        <fgColor indexed="9"/>
        <bgColor indexed="64"/>
      </patternFill>
    </fill>
  </fills>
  <borders count="20">
    <border>
      <left/>
      <right/>
      <top/>
      <bottom/>
      <diagonal/>
    </border>
    <border>
      <left style="thin"/>
      <right style="thin"/>
      <top>
        <color indexed="63"/>
      </top>
      <bottom>
        <color indexed="63"/>
      </bottom>
    </border>
    <border>
      <left style="thin"/>
      <right style="thin"/>
      <top style="thin"/>
      <bottom style="thin"/>
    </border>
    <border diagonalUp="1">
      <left style="thin"/>
      <right style="thin"/>
      <top style="thin"/>
      <bottom style="thin"/>
      <diagonal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218">
    <xf numFmtId="0" fontId="0" fillId="0" borderId="0" xfId="0" applyAlignment="1">
      <alignment/>
    </xf>
    <xf numFmtId="0" fontId="5" fillId="0" borderId="0" xfId="0" applyFont="1" applyAlignment="1">
      <alignment/>
    </xf>
    <xf numFmtId="0" fontId="5" fillId="2" borderId="1" xfId="0" applyNumberFormat="1" applyFont="1" applyFill="1" applyBorder="1" applyAlignment="1">
      <alignment horizontal="center"/>
    </xf>
    <xf numFmtId="0" fontId="5" fillId="0" borderId="2" xfId="21" applyNumberFormat="1" applyFont="1" applyFill="1" applyBorder="1" applyAlignment="1">
      <alignment horizontal="center" vertical="center"/>
      <protection/>
    </xf>
    <xf numFmtId="0" fontId="5" fillId="0" borderId="2" xfId="0" applyNumberFormat="1" applyFont="1" applyBorder="1" applyAlignment="1">
      <alignment horizontal="center" vertical="center"/>
    </xf>
    <xf numFmtId="0" fontId="5" fillId="0" borderId="2" xfId="0" applyNumberFormat="1" applyFont="1" applyBorder="1" applyAlignment="1">
      <alignment horizontal="center"/>
    </xf>
    <xf numFmtId="0" fontId="5" fillId="0" borderId="2" xfId="0" applyNumberFormat="1" applyFont="1" applyBorder="1" applyAlignment="1">
      <alignment horizontal="left"/>
    </xf>
    <xf numFmtId="0" fontId="5" fillId="0" borderId="2" xfId="0" applyNumberFormat="1" applyFont="1" applyFill="1" applyBorder="1" applyAlignment="1">
      <alignment horizontal="left"/>
    </xf>
    <xf numFmtId="0" fontId="5" fillId="2" borderId="2" xfId="0" applyNumberFormat="1" applyFont="1" applyFill="1" applyBorder="1" applyAlignment="1">
      <alignment horizontal="center"/>
    </xf>
    <xf numFmtId="0" fontId="5" fillId="2" borderId="2" xfId="21" applyNumberFormat="1" applyFont="1" applyFill="1" applyBorder="1" applyAlignment="1">
      <alignment horizontal="center" vertical="center"/>
      <protection/>
    </xf>
    <xf numFmtId="0" fontId="5" fillId="0" borderId="3" xfId="21" applyNumberFormat="1" applyFont="1" applyFill="1" applyBorder="1" applyAlignment="1">
      <alignment horizontal="center" vertical="center"/>
      <protection/>
    </xf>
    <xf numFmtId="0" fontId="5" fillId="0" borderId="3" xfId="0" applyNumberFormat="1" applyFont="1" applyBorder="1" applyAlignment="1">
      <alignment horizontal="center" vertical="center"/>
    </xf>
    <xf numFmtId="0" fontId="8" fillId="0" borderId="3" xfId="0" applyNumberFormat="1" applyFont="1" applyBorder="1" applyAlignment="1">
      <alignment horizontal="center"/>
    </xf>
    <xf numFmtId="0" fontId="9" fillId="0" borderId="3" xfId="21" applyNumberFormat="1" applyFont="1" applyFill="1" applyBorder="1" applyAlignment="1">
      <alignment horizontal="center" vertical="center"/>
      <protection/>
    </xf>
    <xf numFmtId="0" fontId="5" fillId="0" borderId="2" xfId="0" applyFont="1" applyBorder="1" applyAlignment="1" quotePrefix="1">
      <alignment horizontal="left"/>
    </xf>
    <xf numFmtId="0" fontId="5" fillId="0" borderId="2" xfId="0" applyFont="1" applyFill="1" applyBorder="1" applyAlignment="1">
      <alignment horizontal="left"/>
    </xf>
    <xf numFmtId="0" fontId="5" fillId="0" borderId="2" xfId="0" applyFont="1" applyFill="1" applyBorder="1" applyAlignment="1" quotePrefix="1">
      <alignment horizontal="left"/>
    </xf>
    <xf numFmtId="0" fontId="5" fillId="0" borderId="2" xfId="0" applyFont="1" applyBorder="1" applyAlignment="1">
      <alignment horizontal="left"/>
    </xf>
    <xf numFmtId="0" fontId="5" fillId="3" borderId="2" xfId="0" applyFont="1" applyFill="1" applyBorder="1" applyAlignment="1">
      <alignment/>
    </xf>
    <xf numFmtId="0" fontId="5" fillId="3" borderId="2" xfId="0" applyFont="1" applyFill="1" applyBorder="1" applyAlignment="1">
      <alignment horizontal="center"/>
    </xf>
    <xf numFmtId="0" fontId="10" fillId="3" borderId="2" xfId="0" applyFont="1" applyFill="1" applyBorder="1" applyAlignment="1">
      <alignment horizontal="center" vertical="center"/>
    </xf>
    <xf numFmtId="0" fontId="5" fillId="0" borderId="3" xfId="0" applyNumberFormat="1" applyFont="1" applyBorder="1" applyAlignment="1">
      <alignment horizontal="center"/>
    </xf>
    <xf numFmtId="0" fontId="5" fillId="4" borderId="2" xfId="0" applyFont="1" applyFill="1" applyBorder="1" applyAlignment="1">
      <alignment horizontal="left" vertical="center"/>
    </xf>
    <xf numFmtId="0" fontId="8" fillId="4" borderId="2" xfId="0" applyFont="1" applyFill="1" applyBorder="1" applyAlignment="1">
      <alignment horizontal="center" vertical="center"/>
    </xf>
    <xf numFmtId="0" fontId="5" fillId="4" borderId="2" xfId="0" applyFont="1" applyFill="1" applyBorder="1" applyAlignment="1">
      <alignment horizontal="center" vertical="center"/>
    </xf>
    <xf numFmtId="0" fontId="5" fillId="0" borderId="2" xfId="0" applyFont="1" applyBorder="1" applyAlignment="1">
      <alignment/>
    </xf>
    <xf numFmtId="0" fontId="5" fillId="4" borderId="2" xfId="0" applyFont="1" applyFill="1" applyBorder="1" applyAlignment="1">
      <alignment/>
    </xf>
    <xf numFmtId="0" fontId="7" fillId="4" borderId="2" xfId="0" applyFont="1" applyFill="1" applyBorder="1" applyAlignment="1">
      <alignment horizontal="center" vertical="center" wrapText="1"/>
    </xf>
    <xf numFmtId="0" fontId="7" fillId="4" borderId="2" xfId="0" applyFont="1" applyFill="1" applyBorder="1" applyAlignment="1">
      <alignment horizontal="center" vertical="center"/>
    </xf>
    <xf numFmtId="0" fontId="7" fillId="4" borderId="2" xfId="0" applyFont="1" applyFill="1" applyBorder="1" applyAlignment="1">
      <alignment horizontal="center"/>
    </xf>
    <xf numFmtId="0" fontId="10" fillId="4" borderId="2" xfId="0" applyFont="1" applyFill="1" applyBorder="1" applyAlignment="1">
      <alignment horizontal="center" vertical="center"/>
    </xf>
    <xf numFmtId="0" fontId="5" fillId="0" borderId="2" xfId="0" applyNumberFormat="1" applyFont="1" applyFill="1" applyBorder="1" applyAlignment="1">
      <alignment horizontal="center"/>
    </xf>
    <xf numFmtId="0" fontId="5" fillId="0" borderId="2" xfId="0" applyFont="1" applyBorder="1" applyAlignment="1">
      <alignment horizontal="center"/>
    </xf>
    <xf numFmtId="0" fontId="5" fillId="0" borderId="2" xfId="0" applyFont="1" applyFill="1" applyBorder="1" applyAlignment="1">
      <alignment horizontal="center"/>
    </xf>
    <xf numFmtId="0" fontId="5" fillId="0" borderId="2" xfId="0" applyFont="1" applyFill="1" applyBorder="1" applyAlignment="1">
      <alignment/>
    </xf>
    <xf numFmtId="0" fontId="5" fillId="5" borderId="2" xfId="0" applyFont="1" applyFill="1" applyBorder="1" applyAlignment="1">
      <alignment/>
    </xf>
    <xf numFmtId="0" fontId="5" fillId="5" borderId="2" xfId="0" applyFont="1" applyFill="1" applyBorder="1" applyAlignment="1">
      <alignment wrapText="1"/>
    </xf>
    <xf numFmtId="0" fontId="7" fillId="6" borderId="2" xfId="0" applyFont="1" applyFill="1" applyBorder="1" applyAlignment="1">
      <alignment/>
    </xf>
    <xf numFmtId="0" fontId="7" fillId="6" borderId="2" xfId="0" applyFont="1" applyFill="1" applyBorder="1" applyAlignment="1">
      <alignment wrapText="1"/>
    </xf>
    <xf numFmtId="0" fontId="7" fillId="7" borderId="2" xfId="0" applyFont="1" applyFill="1" applyBorder="1" applyAlignment="1">
      <alignment/>
    </xf>
    <xf numFmtId="0" fontId="7" fillId="8" borderId="2" xfId="0" applyFont="1" applyFill="1" applyBorder="1" applyAlignment="1">
      <alignment horizontal="center"/>
    </xf>
    <xf numFmtId="0" fontId="7" fillId="9" borderId="2" xfId="0" applyFont="1" applyFill="1" applyBorder="1" applyAlignment="1">
      <alignment horizontal="center"/>
    </xf>
    <xf numFmtId="0" fontId="5" fillId="0" borderId="0" xfId="0" applyFont="1" applyBorder="1" applyAlignment="1">
      <alignment horizontal="left"/>
    </xf>
    <xf numFmtId="0" fontId="5" fillId="0" borderId="0" xfId="0" applyFont="1" applyFill="1" applyBorder="1" applyAlignment="1">
      <alignment horizontal="left"/>
    </xf>
    <xf numFmtId="0" fontId="0" fillId="0" borderId="0" xfId="0" applyAlignment="1">
      <alignment wrapText="1"/>
    </xf>
    <xf numFmtId="0" fontId="0" fillId="8" borderId="0" xfId="0" applyFill="1" applyAlignment="1">
      <alignment wrapText="1"/>
    </xf>
    <xf numFmtId="0" fontId="0" fillId="0" borderId="0" xfId="0" applyFill="1" applyAlignment="1">
      <alignment wrapText="1"/>
    </xf>
    <xf numFmtId="0" fontId="0" fillId="6" borderId="0" xfId="0" applyFill="1" applyAlignment="1">
      <alignment wrapText="1"/>
    </xf>
    <xf numFmtId="0" fontId="0" fillId="10" borderId="0" xfId="0" applyFill="1" applyAlignment="1">
      <alignment wrapText="1"/>
    </xf>
    <xf numFmtId="0" fontId="0" fillId="11" borderId="0" xfId="0" applyFill="1" applyAlignment="1">
      <alignment wrapText="1"/>
    </xf>
    <xf numFmtId="0" fontId="0" fillId="2" borderId="0" xfId="0" applyFill="1" applyAlignment="1">
      <alignment wrapText="1"/>
    </xf>
    <xf numFmtId="0" fontId="0" fillId="3" borderId="0" xfId="0" applyFill="1" applyAlignment="1">
      <alignment wrapText="1"/>
    </xf>
    <xf numFmtId="0" fontId="12" fillId="12" borderId="0" xfId="0" applyFont="1" applyFill="1" applyAlignment="1">
      <alignment/>
    </xf>
    <xf numFmtId="14" fontId="0" fillId="0" borderId="0" xfId="0" applyNumberFormat="1" applyAlignment="1">
      <alignment/>
    </xf>
    <xf numFmtId="0" fontId="0" fillId="0" borderId="0" xfId="0" applyFill="1" applyBorder="1" applyAlignment="1">
      <alignment/>
    </xf>
    <xf numFmtId="0" fontId="5" fillId="0" borderId="0" xfId="0" applyNumberFormat="1" applyFont="1" applyFill="1" applyBorder="1" applyAlignment="1">
      <alignment horizontal="left"/>
    </xf>
    <xf numFmtId="0" fontId="13" fillId="0" borderId="0" xfId="0" applyNumberFormat="1" applyFont="1" applyFill="1" applyBorder="1" applyAlignment="1">
      <alignment horizontal="left"/>
    </xf>
    <xf numFmtId="0" fontId="12" fillId="12" borderId="0" xfId="0" applyFont="1" applyFill="1" applyBorder="1" applyAlignment="1">
      <alignment/>
    </xf>
    <xf numFmtId="0" fontId="7" fillId="6" borderId="0" xfId="0" applyFont="1" applyFill="1" applyBorder="1" applyAlignment="1">
      <alignment wrapText="1"/>
    </xf>
    <xf numFmtId="0" fontId="7" fillId="7" borderId="0" xfId="0" applyFont="1" applyFill="1" applyBorder="1" applyAlignment="1">
      <alignment/>
    </xf>
    <xf numFmtId="0" fontId="7" fillId="8" borderId="0" xfId="0" applyFont="1" applyFill="1" applyBorder="1" applyAlignment="1">
      <alignment horizontal="center"/>
    </xf>
    <xf numFmtId="0" fontId="8" fillId="4" borderId="4" xfId="0" applyFont="1" applyFill="1" applyBorder="1" applyAlignment="1">
      <alignment vertical="center" wrapText="1"/>
    </xf>
    <xf numFmtId="0" fontId="8" fillId="4" borderId="5" xfId="0" applyFont="1" applyFill="1" applyBorder="1" applyAlignment="1">
      <alignment vertical="center" wrapText="1"/>
    </xf>
    <xf numFmtId="0" fontId="10" fillId="0" borderId="0" xfId="0" applyFont="1" applyFill="1" applyBorder="1" applyAlignment="1">
      <alignment horizontal="center" vertical="center" wrapText="1"/>
    </xf>
    <xf numFmtId="0" fontId="5" fillId="0" borderId="0" xfId="0" applyFont="1" applyFill="1" applyBorder="1" applyAlignment="1">
      <alignment horizontal="center"/>
    </xf>
    <xf numFmtId="0" fontId="5" fillId="0" borderId="0" xfId="0" applyFont="1" applyFill="1" applyBorder="1" applyAlignment="1">
      <alignment/>
    </xf>
    <xf numFmtId="0" fontId="5" fillId="0" borderId="2" xfId="0" applyNumberFormat="1" applyFont="1" applyFill="1" applyBorder="1" applyAlignment="1">
      <alignment horizontal="center" vertical="center"/>
    </xf>
    <xf numFmtId="0" fontId="5" fillId="0" borderId="0" xfId="0" applyNumberFormat="1" applyFont="1" applyFill="1" applyBorder="1" applyAlignment="1">
      <alignment horizontal="center"/>
    </xf>
    <xf numFmtId="0" fontId="5" fillId="0" borderId="0" xfId="0" applyNumberFormat="1" applyFont="1" applyFill="1" applyBorder="1" applyAlignment="1">
      <alignment horizontal="center" vertical="center"/>
    </xf>
    <xf numFmtId="0" fontId="5" fillId="0" borderId="0" xfId="21" applyNumberFormat="1" applyFont="1" applyFill="1" applyBorder="1" applyAlignment="1">
      <alignment horizontal="center" vertical="center"/>
      <protection/>
    </xf>
    <xf numFmtId="0" fontId="8" fillId="0" borderId="0" xfId="0" applyNumberFormat="1" applyFont="1" applyFill="1" applyBorder="1" applyAlignment="1">
      <alignment horizontal="center"/>
    </xf>
    <xf numFmtId="0" fontId="9" fillId="0" borderId="0" xfId="21" applyNumberFormat="1" applyFont="1" applyFill="1" applyBorder="1" applyAlignment="1">
      <alignment horizontal="center" vertical="center"/>
      <protection/>
    </xf>
    <xf numFmtId="0" fontId="5" fillId="3" borderId="2" xfId="0" applyFont="1" applyFill="1" applyBorder="1" applyAlignment="1">
      <alignment horizontal="right"/>
    </xf>
    <xf numFmtId="0" fontId="10" fillId="3" borderId="2" xfId="0" applyFont="1" applyFill="1" applyBorder="1" applyAlignment="1">
      <alignment horizontal="right" vertical="center"/>
    </xf>
    <xf numFmtId="0" fontId="7" fillId="0" borderId="0" xfId="0" applyFont="1" applyAlignment="1">
      <alignment vertical="top" wrapText="1"/>
    </xf>
    <xf numFmtId="0" fontId="5" fillId="0" borderId="2" xfId="0" applyNumberFormat="1" applyFont="1" applyBorder="1" applyAlignment="1">
      <alignment horizontal="right"/>
    </xf>
    <xf numFmtId="0" fontId="5" fillId="0" borderId="2" xfId="0" applyFont="1" applyBorder="1" applyAlignment="1">
      <alignment vertical="top" wrapText="1"/>
    </xf>
    <xf numFmtId="0" fontId="5" fillId="0" borderId="2" xfId="0" applyFont="1" applyBorder="1" applyAlignment="1">
      <alignment horizontal="right" vertical="top" wrapText="1"/>
    </xf>
    <xf numFmtId="0" fontId="5" fillId="0" borderId="2" xfId="0" applyNumberFormat="1" applyFont="1" applyBorder="1" applyAlignment="1">
      <alignment horizontal="right" vertical="center"/>
    </xf>
    <xf numFmtId="0" fontId="7" fillId="13" borderId="2" xfId="0" applyFont="1" applyFill="1" applyBorder="1" applyAlignment="1">
      <alignment vertical="top" wrapText="1"/>
    </xf>
    <xf numFmtId="0" fontId="5" fillId="0" borderId="2" xfId="21" applyNumberFormat="1" applyFont="1" applyFill="1" applyBorder="1" applyAlignment="1">
      <alignment horizontal="right" vertical="center"/>
      <protection/>
    </xf>
    <xf numFmtId="0" fontId="5" fillId="0" borderId="2" xfId="0" applyNumberFormat="1" applyFont="1" applyFill="1" applyBorder="1" applyAlignment="1">
      <alignment horizontal="right"/>
    </xf>
    <xf numFmtId="0" fontId="5" fillId="0" borderId="2" xfId="0" applyFont="1" applyBorder="1" applyAlignment="1">
      <alignment horizontal="right"/>
    </xf>
    <xf numFmtId="0" fontId="5" fillId="0" borderId="2" xfId="0" applyNumberFormat="1" applyFont="1" applyFill="1" applyBorder="1" applyAlignment="1">
      <alignment horizontal="right" vertical="center"/>
    </xf>
    <xf numFmtId="0" fontId="5" fillId="2" borderId="2" xfId="0" applyNumberFormat="1" applyFont="1" applyFill="1" applyBorder="1" applyAlignment="1">
      <alignment horizontal="center" vertical="center"/>
    </xf>
    <xf numFmtId="0" fontId="5" fillId="0" borderId="0" xfId="0" applyFont="1" applyAlignment="1">
      <alignment/>
    </xf>
    <xf numFmtId="0" fontId="5" fillId="0" borderId="0" xfId="0" applyFont="1" applyAlignment="1">
      <alignment horizontal="center"/>
    </xf>
    <xf numFmtId="0" fontId="5" fillId="0" borderId="2" xfId="0" applyFont="1" applyBorder="1" applyAlignment="1">
      <alignment/>
    </xf>
    <xf numFmtId="0" fontId="5" fillId="0" borderId="2" xfId="0" applyFont="1" applyFill="1" applyBorder="1" applyAlignment="1">
      <alignment horizontal="center" vertical="center" wrapText="1"/>
    </xf>
    <xf numFmtId="0" fontId="5" fillId="0" borderId="2" xfId="0" applyFont="1" applyBorder="1" applyAlignment="1">
      <alignment wrapText="1"/>
    </xf>
    <xf numFmtId="0" fontId="5" fillId="0" borderId="2" xfId="0" applyFont="1" applyFill="1" applyBorder="1" applyAlignment="1">
      <alignment/>
    </xf>
    <xf numFmtId="0" fontId="5" fillId="0" borderId="2" xfId="0" applyFont="1" applyFill="1" applyBorder="1" applyAlignment="1">
      <alignment horizontal="center" wrapText="1"/>
    </xf>
    <xf numFmtId="0" fontId="5" fillId="0" borderId="2" xfId="0" applyFont="1" applyFill="1" applyBorder="1" applyAlignment="1">
      <alignment horizontal="center" vertical="center"/>
    </xf>
    <xf numFmtId="0" fontId="6" fillId="0" borderId="2" xfId="0" applyFont="1" applyFill="1" applyBorder="1" applyAlignment="1">
      <alignment wrapText="1"/>
    </xf>
    <xf numFmtId="0" fontId="6" fillId="0" borderId="2" xfId="0" applyFont="1" applyFill="1" applyBorder="1" applyAlignment="1">
      <alignment horizontal="center" wrapText="1"/>
    </xf>
    <xf numFmtId="0" fontId="7" fillId="5" borderId="6" xfId="0" applyFont="1" applyFill="1" applyBorder="1" applyAlignment="1">
      <alignment horizontal="left"/>
    </xf>
    <xf numFmtId="0" fontId="5" fillId="5" borderId="6" xfId="0" applyFont="1" applyFill="1" applyBorder="1" applyAlignment="1">
      <alignment/>
    </xf>
    <xf numFmtId="0" fontId="5" fillId="0" borderId="0" xfId="0" applyFont="1" applyBorder="1" applyAlignment="1">
      <alignment/>
    </xf>
    <xf numFmtId="0" fontId="7" fillId="13" borderId="2" xfId="0" applyFont="1" applyFill="1" applyBorder="1" applyAlignment="1">
      <alignment wrapText="1"/>
    </xf>
    <xf numFmtId="0" fontId="7" fillId="13" borderId="2" xfId="0" applyFont="1" applyFill="1" applyBorder="1" applyAlignment="1">
      <alignment/>
    </xf>
    <xf numFmtId="0" fontId="7" fillId="4" borderId="2" xfId="0" applyFont="1" applyFill="1" applyBorder="1" applyAlignment="1">
      <alignment horizontal="center" wrapText="1"/>
    </xf>
    <xf numFmtId="0" fontId="7" fillId="4" borderId="2" xfId="0" applyFont="1" applyFill="1" applyBorder="1" applyAlignment="1">
      <alignment wrapText="1"/>
    </xf>
    <xf numFmtId="0" fontId="5" fillId="0" borderId="2" xfId="0" applyFont="1" applyFill="1" applyBorder="1" applyAlignment="1">
      <alignment horizontal="left" vertical="center"/>
    </xf>
    <xf numFmtId="0" fontId="5" fillId="0" borderId="0" xfId="0" applyFont="1" applyFill="1" applyAlignment="1">
      <alignment/>
    </xf>
    <xf numFmtId="0" fontId="7" fillId="0" borderId="2" xfId="0" applyFont="1" applyBorder="1" applyAlignment="1">
      <alignment/>
    </xf>
    <xf numFmtId="0" fontId="0" fillId="9" borderId="0" xfId="0" applyFill="1" applyAlignment="1">
      <alignment wrapText="1"/>
    </xf>
    <xf numFmtId="0" fontId="5" fillId="11" borderId="2" xfId="0" applyFont="1" applyFill="1" applyBorder="1" applyAlignment="1">
      <alignment/>
    </xf>
    <xf numFmtId="0" fontId="5" fillId="11" borderId="2" xfId="0" applyFont="1" applyFill="1" applyBorder="1" applyAlignment="1">
      <alignment horizontal="left"/>
    </xf>
    <xf numFmtId="0" fontId="5" fillId="11" borderId="2" xfId="0" applyNumberFormat="1" applyFont="1" applyFill="1" applyBorder="1" applyAlignment="1">
      <alignment horizontal="center" wrapText="1"/>
    </xf>
    <xf numFmtId="0" fontId="5" fillId="14" borderId="2" xfId="0" applyFont="1" applyFill="1" applyBorder="1" applyAlignment="1">
      <alignment/>
    </xf>
    <xf numFmtId="0" fontId="5" fillId="11" borderId="2" xfId="0" applyNumberFormat="1" applyFont="1" applyFill="1" applyBorder="1" applyAlignment="1">
      <alignment/>
    </xf>
    <xf numFmtId="0" fontId="5" fillId="0" borderId="2" xfId="0" applyNumberFormat="1" applyFont="1" applyFill="1" applyBorder="1" applyAlignment="1">
      <alignment/>
    </xf>
    <xf numFmtId="0" fontId="5" fillId="0" borderId="2" xfId="0" applyFont="1" applyBorder="1" applyAlignment="1">
      <alignment horizontal="center" vertical="top" wrapText="1"/>
    </xf>
    <xf numFmtId="0" fontId="5" fillId="0" borderId="2" xfId="0" applyFont="1" applyFill="1" applyBorder="1" applyAlignment="1">
      <alignment wrapText="1"/>
    </xf>
    <xf numFmtId="0" fontId="7" fillId="9" borderId="0" xfId="0" applyFont="1" applyFill="1" applyBorder="1" applyAlignment="1">
      <alignment horizontal="center"/>
    </xf>
    <xf numFmtId="0" fontId="5" fillId="0" borderId="0" xfId="0" applyFont="1" applyBorder="1" applyAlignment="1">
      <alignment horizontal="center" wrapText="1"/>
    </xf>
    <xf numFmtId="0" fontId="7" fillId="3" borderId="0" xfId="0" applyFont="1" applyFill="1" applyBorder="1" applyAlignment="1">
      <alignment horizontal="center" vertical="center" wrapText="1"/>
    </xf>
    <xf numFmtId="0" fontId="10" fillId="3" borderId="0" xfId="0" applyFont="1" applyFill="1" applyBorder="1" applyAlignment="1">
      <alignment horizontal="center" vertical="center"/>
    </xf>
    <xf numFmtId="0" fontId="5" fillId="0" borderId="0" xfId="0" applyNumberFormat="1" applyFont="1" applyBorder="1" applyAlignment="1">
      <alignment horizontal="center"/>
    </xf>
    <xf numFmtId="0" fontId="5" fillId="0" borderId="0" xfId="0" applyNumberFormat="1" applyFont="1" applyBorder="1" applyAlignment="1">
      <alignment horizontal="center" vertical="center"/>
    </xf>
    <xf numFmtId="0" fontId="5" fillId="0" borderId="0" xfId="0" applyFont="1" applyBorder="1" applyAlignment="1">
      <alignment wrapText="1"/>
    </xf>
    <xf numFmtId="0" fontId="7" fillId="4" borderId="0" xfId="0" applyFont="1" applyFill="1" applyBorder="1" applyAlignment="1">
      <alignment wrapText="1"/>
    </xf>
    <xf numFmtId="0" fontId="5" fillId="0" borderId="0" xfId="0" applyFont="1" applyBorder="1" applyAlignment="1">
      <alignment/>
    </xf>
    <xf numFmtId="0" fontId="5" fillId="0" borderId="2" xfId="0" applyFont="1" applyBorder="1" applyAlignment="1" quotePrefix="1">
      <alignment/>
    </xf>
    <xf numFmtId="0" fontId="5" fillId="0" borderId="2"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18" fillId="9" borderId="2" xfId="0" applyFont="1" applyFill="1" applyBorder="1" applyAlignment="1">
      <alignment/>
    </xf>
    <xf numFmtId="0" fontId="0" fillId="9" borderId="2" xfId="0" applyFont="1" applyFill="1" applyBorder="1" applyAlignment="1">
      <alignment/>
    </xf>
    <xf numFmtId="0" fontId="0" fillId="13" borderId="0" xfId="0" applyFont="1" applyFill="1" applyBorder="1" applyAlignment="1">
      <alignment/>
    </xf>
    <xf numFmtId="2" fontId="18" fillId="9" borderId="2" xfId="0" applyNumberFormat="1" applyFont="1" applyFill="1" applyBorder="1" applyAlignment="1">
      <alignment/>
    </xf>
    <xf numFmtId="0" fontId="18" fillId="9" borderId="5" xfId="0" applyFont="1" applyFill="1" applyBorder="1" applyAlignment="1">
      <alignment/>
    </xf>
    <xf numFmtId="0" fontId="0" fillId="0" borderId="0" xfId="0" applyFont="1" applyAlignment="1">
      <alignment/>
    </xf>
    <xf numFmtId="2" fontId="0" fillId="9" borderId="2" xfId="0" applyNumberFormat="1" applyFont="1" applyFill="1" applyBorder="1" applyAlignment="1">
      <alignment/>
    </xf>
    <xf numFmtId="2" fontId="0" fillId="13" borderId="0" xfId="0" applyNumberFormat="1" applyFont="1" applyFill="1" applyBorder="1" applyAlignment="1">
      <alignment/>
    </xf>
    <xf numFmtId="0" fontId="0" fillId="0" borderId="0" xfId="0" applyFont="1" applyBorder="1" applyAlignment="1">
      <alignment/>
    </xf>
    <xf numFmtId="0" fontId="0" fillId="15" borderId="0" xfId="0" applyFont="1" applyFill="1" applyAlignment="1">
      <alignment/>
    </xf>
    <xf numFmtId="0" fontId="0" fillId="15" borderId="0" xfId="0" applyFont="1" applyFill="1" applyAlignment="1">
      <alignment/>
    </xf>
    <xf numFmtId="0" fontId="17" fillId="15" borderId="0" xfId="0" applyFont="1" applyFill="1" applyAlignment="1">
      <alignment/>
    </xf>
    <xf numFmtId="0" fontId="0" fillId="15" borderId="0" xfId="0" applyFont="1" applyFill="1" applyAlignment="1">
      <alignment/>
    </xf>
    <xf numFmtId="0" fontId="18" fillId="15" borderId="0" xfId="0" applyFont="1" applyFill="1" applyAlignment="1">
      <alignment wrapText="1"/>
    </xf>
    <xf numFmtId="0" fontId="18" fillId="15" borderId="0" xfId="0" applyFont="1" applyFill="1" applyAlignment="1">
      <alignment/>
    </xf>
    <xf numFmtId="0" fontId="0" fillId="15" borderId="0" xfId="0" applyFont="1" applyFill="1" applyAlignment="1">
      <alignment/>
    </xf>
    <xf numFmtId="0" fontId="19" fillId="15" borderId="0" xfId="0" applyFont="1" applyFill="1" applyAlignment="1">
      <alignment/>
    </xf>
    <xf numFmtId="0" fontId="20" fillId="15" borderId="0" xfId="0" applyFont="1" applyFill="1" applyAlignment="1">
      <alignment/>
    </xf>
    <xf numFmtId="0" fontId="0" fillId="13" borderId="7" xfId="0" applyFont="1" applyFill="1" applyBorder="1" applyAlignment="1">
      <alignment/>
    </xf>
    <xf numFmtId="0" fontId="0" fillId="13" borderId="0" xfId="0" applyFont="1" applyFill="1" applyBorder="1" applyAlignment="1">
      <alignment/>
    </xf>
    <xf numFmtId="0" fontId="0" fillId="13" borderId="8" xfId="0" applyFont="1" applyFill="1" applyBorder="1" applyAlignment="1">
      <alignment/>
    </xf>
    <xf numFmtId="0" fontId="18" fillId="9" borderId="9" xfId="0" applyFont="1" applyFill="1" applyBorder="1" applyAlignment="1">
      <alignment/>
    </xf>
    <xf numFmtId="0" fontId="18" fillId="13" borderId="7" xfId="0" applyFont="1" applyFill="1" applyBorder="1" applyAlignment="1">
      <alignment/>
    </xf>
    <xf numFmtId="0" fontId="0" fillId="13" borderId="0" xfId="0" applyFont="1" applyFill="1" applyBorder="1" applyAlignment="1">
      <alignment/>
    </xf>
    <xf numFmtId="0" fontId="19" fillId="13" borderId="7" xfId="0" applyFont="1" applyFill="1" applyBorder="1" applyAlignment="1">
      <alignment/>
    </xf>
    <xf numFmtId="0" fontId="0" fillId="13" borderId="7" xfId="0" applyFont="1" applyFill="1" applyBorder="1" applyAlignment="1">
      <alignment/>
    </xf>
    <xf numFmtId="0" fontId="0" fillId="13" borderId="0" xfId="0" applyFont="1" applyFill="1" applyBorder="1" applyAlignment="1">
      <alignment/>
    </xf>
    <xf numFmtId="0" fontId="0" fillId="13" borderId="10" xfId="0" applyFont="1" applyFill="1" applyBorder="1" applyAlignment="1">
      <alignment/>
    </xf>
    <xf numFmtId="0" fontId="0" fillId="13" borderId="11" xfId="0" applyFont="1" applyFill="1" applyBorder="1" applyAlignment="1">
      <alignment/>
    </xf>
    <xf numFmtId="0" fontId="18" fillId="9" borderId="12" xfId="0" applyFont="1" applyFill="1" applyBorder="1" applyAlignment="1">
      <alignment/>
    </xf>
    <xf numFmtId="0" fontId="0" fillId="13" borderId="11" xfId="0" applyFont="1" applyFill="1" applyBorder="1" applyAlignment="1">
      <alignment/>
    </xf>
    <xf numFmtId="0" fontId="0" fillId="13" borderId="13" xfId="0" applyFont="1" applyFill="1" applyBorder="1" applyAlignment="1">
      <alignment/>
    </xf>
    <xf numFmtId="0" fontId="0" fillId="13" borderId="7" xfId="0" applyFont="1" applyFill="1" applyBorder="1" applyAlignment="1">
      <alignment/>
    </xf>
    <xf numFmtId="0" fontId="5" fillId="4" borderId="0" xfId="0" applyFont="1" applyFill="1" applyBorder="1" applyAlignment="1">
      <alignment horizontal="center" vertical="center"/>
    </xf>
    <xf numFmtId="0" fontId="7" fillId="4" borderId="0" xfId="0" applyFont="1" applyFill="1" applyBorder="1" applyAlignment="1">
      <alignment horizontal="center" vertical="center" wrapText="1"/>
    </xf>
    <xf numFmtId="2" fontId="18" fillId="9" borderId="2" xfId="0" applyNumberFormat="1" applyFont="1" applyFill="1" applyBorder="1" applyAlignment="1">
      <alignment/>
    </xf>
    <xf numFmtId="0" fontId="21" fillId="13" borderId="0" xfId="0" applyFont="1" applyFill="1" applyBorder="1" applyAlignment="1">
      <alignment horizontal="center" vertical="center"/>
    </xf>
    <xf numFmtId="0" fontId="0" fillId="13" borderId="0" xfId="0" applyFill="1" applyBorder="1" applyAlignment="1">
      <alignment/>
    </xf>
    <xf numFmtId="2" fontId="18" fillId="9" borderId="12" xfId="0" applyNumberFormat="1" applyFont="1" applyFill="1" applyBorder="1" applyAlignment="1">
      <alignment/>
    </xf>
    <xf numFmtId="0" fontId="20" fillId="13" borderId="0" xfId="0" applyFont="1" applyFill="1" applyBorder="1" applyAlignment="1">
      <alignment/>
    </xf>
    <xf numFmtId="2" fontId="0" fillId="0" borderId="0" xfId="0" applyNumberFormat="1" applyAlignment="1">
      <alignment/>
    </xf>
    <xf numFmtId="2" fontId="0" fillId="0" borderId="0" xfId="0" applyNumberFormat="1" applyAlignment="1">
      <alignment wrapText="1"/>
    </xf>
    <xf numFmtId="0" fontId="21" fillId="13" borderId="7" xfId="0" applyFont="1" applyFill="1" applyBorder="1" applyAlignment="1">
      <alignment horizontal="center" vertical="center"/>
    </xf>
    <xf numFmtId="0" fontId="0" fillId="13" borderId="8" xfId="0" applyFill="1" applyBorder="1" applyAlignment="1">
      <alignment/>
    </xf>
    <xf numFmtId="0" fontId="18" fillId="15" borderId="0" xfId="0" applyFont="1" applyFill="1" applyAlignment="1">
      <alignment/>
    </xf>
    <xf numFmtId="0" fontId="0" fillId="13" borderId="0" xfId="0" applyFont="1" applyFill="1" applyBorder="1" applyAlignment="1" applyProtection="1">
      <alignment/>
      <protection locked="0"/>
    </xf>
    <xf numFmtId="0" fontId="0" fillId="0" borderId="0" xfId="0" applyFont="1" applyBorder="1" applyAlignment="1" applyProtection="1">
      <alignment/>
      <protection locked="0"/>
    </xf>
    <xf numFmtId="0" fontId="18" fillId="15" borderId="0" xfId="0" applyFont="1" applyFill="1" applyAlignment="1">
      <alignment wrapText="1"/>
    </xf>
    <xf numFmtId="0" fontId="0" fillId="0" borderId="4" xfId="0" applyFont="1" applyFill="1" applyBorder="1" applyAlignment="1">
      <alignment/>
    </xf>
    <xf numFmtId="0" fontId="0" fillId="0" borderId="5" xfId="0" applyFont="1" applyFill="1" applyBorder="1" applyAlignment="1">
      <alignment/>
    </xf>
    <xf numFmtId="0" fontId="0" fillId="0" borderId="4" xfId="0" applyFont="1" applyBorder="1" applyAlignment="1">
      <alignment/>
    </xf>
    <xf numFmtId="0" fontId="0" fillId="15" borderId="0" xfId="0" applyFont="1" applyFill="1" applyAlignment="1">
      <alignment wrapText="1"/>
    </xf>
    <xf numFmtId="0" fontId="0" fillId="15" borderId="0" xfId="0" applyFont="1" applyFill="1" applyAlignment="1">
      <alignment wrapText="1"/>
    </xf>
    <xf numFmtId="0" fontId="21" fillId="6" borderId="14" xfId="0" applyFont="1" applyFill="1" applyBorder="1" applyAlignment="1">
      <alignment horizontal="center" vertical="center"/>
    </xf>
    <xf numFmtId="0" fontId="21" fillId="6" borderId="15" xfId="0" applyFont="1" applyFill="1" applyBorder="1" applyAlignment="1">
      <alignment horizontal="center" vertical="center"/>
    </xf>
    <xf numFmtId="0" fontId="0" fillId="0" borderId="15" xfId="0" applyBorder="1" applyAlignment="1">
      <alignment/>
    </xf>
    <xf numFmtId="0" fontId="0" fillId="0" borderId="16" xfId="0" applyBorder="1" applyAlignment="1">
      <alignment/>
    </xf>
    <xf numFmtId="0" fontId="18" fillId="15" borderId="0" xfId="0" applyFont="1" applyFill="1" applyAlignment="1">
      <alignment wrapText="1"/>
    </xf>
    <xf numFmtId="0" fontId="0" fillId="15" borderId="0" xfId="0" applyFill="1" applyAlignment="1">
      <alignment/>
    </xf>
    <xf numFmtId="0" fontId="0" fillId="15" borderId="0" xfId="0" applyFont="1" applyFill="1" applyAlignment="1">
      <alignment/>
    </xf>
    <xf numFmtId="0" fontId="20" fillId="13" borderId="7" xfId="0" applyFont="1" applyFill="1" applyBorder="1" applyAlignment="1">
      <alignment wrapText="1"/>
    </xf>
    <xf numFmtId="0" fontId="20" fillId="0" borderId="0" xfId="0" applyFont="1" applyAlignment="1">
      <alignment wrapText="1"/>
    </xf>
    <xf numFmtId="0" fontId="0" fillId="0" borderId="0" xfId="0" applyAlignment="1">
      <alignment/>
    </xf>
    <xf numFmtId="0" fontId="20" fillId="0" borderId="7" xfId="0" applyFont="1" applyBorder="1" applyAlignment="1">
      <alignment wrapText="1"/>
    </xf>
    <xf numFmtId="0" fontId="18" fillId="13" borderId="17" xfId="0" applyFont="1" applyFill="1" applyBorder="1" applyAlignment="1">
      <alignment horizontal="center"/>
    </xf>
    <xf numFmtId="0" fontId="0" fillId="15" borderId="0" xfId="0" applyFill="1" applyAlignment="1">
      <alignment/>
    </xf>
    <xf numFmtId="0" fontId="18" fillId="15" borderId="0" xfId="0" applyFont="1" applyFill="1" applyAlignment="1">
      <alignment horizontal="left"/>
    </xf>
    <xf numFmtId="0" fontId="0" fillId="15" borderId="0" xfId="0" applyFont="1" applyFill="1" applyAlignment="1">
      <alignment horizontal="left"/>
    </xf>
    <xf numFmtId="0" fontId="0" fillId="0" borderId="17" xfId="0" applyFont="1" applyBorder="1" applyAlignment="1">
      <alignment/>
    </xf>
    <xf numFmtId="0" fontId="0" fillId="0" borderId="5" xfId="0" applyBorder="1" applyAlignment="1">
      <alignment/>
    </xf>
    <xf numFmtId="0" fontId="0" fillId="0" borderId="0" xfId="0" applyAlignment="1">
      <alignment wrapText="1"/>
    </xf>
    <xf numFmtId="0" fontId="7" fillId="4" borderId="2" xfId="0" applyFont="1" applyFill="1" applyBorder="1" applyAlignment="1">
      <alignment horizontal="center" vertical="center" wrapText="1"/>
    </xf>
    <xf numFmtId="0" fontId="5" fillId="11" borderId="2" xfId="0" applyFont="1" applyFill="1" applyBorder="1" applyAlignment="1">
      <alignment horizontal="center" wrapText="1"/>
    </xf>
    <xf numFmtId="0" fontId="7" fillId="4" borderId="4" xfId="0" applyFont="1" applyFill="1" applyBorder="1" applyAlignment="1" quotePrefix="1">
      <alignment horizontal="center" vertical="center" wrapText="1"/>
    </xf>
    <xf numFmtId="0" fontId="0" fillId="0" borderId="5" xfId="0" applyBorder="1" applyAlignment="1">
      <alignment horizontal="center" vertical="center" wrapText="1"/>
    </xf>
    <xf numFmtId="0" fontId="7" fillId="4" borderId="2" xfId="0" applyFont="1" applyFill="1" applyBorder="1" applyAlignment="1" quotePrefix="1">
      <alignment horizontal="center" vertical="center" wrapText="1"/>
    </xf>
    <xf numFmtId="0" fontId="7"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3" borderId="2" xfId="0" applyFont="1" applyFill="1" applyBorder="1" applyAlignment="1">
      <alignment horizontal="center" wrapText="1"/>
    </xf>
    <xf numFmtId="0" fontId="5" fillId="0" borderId="2" xfId="0" applyFont="1" applyBorder="1" applyAlignment="1">
      <alignment horizontal="center" wrapText="1"/>
    </xf>
    <xf numFmtId="0" fontId="10"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13" borderId="18" xfId="0" applyFont="1" applyFill="1" applyBorder="1" applyAlignment="1">
      <alignment vertical="top" wrapText="1"/>
    </xf>
    <xf numFmtId="0" fontId="5" fillId="0" borderId="0" xfId="0" applyFont="1" applyAlignment="1">
      <alignment/>
    </xf>
    <xf numFmtId="0" fontId="7" fillId="4" borderId="2" xfId="0" applyFont="1" applyFill="1" applyBorder="1" applyAlignment="1">
      <alignment horizontal="center" wrapText="1"/>
    </xf>
    <xf numFmtId="0" fontId="5" fillId="13" borderId="19" xfId="0" applyFont="1" applyFill="1" applyBorder="1" applyAlignment="1">
      <alignment/>
    </xf>
    <xf numFmtId="0" fontId="5" fillId="13" borderId="6" xfId="0" applyFont="1" applyFill="1" applyBorder="1" applyAlignment="1">
      <alignment/>
    </xf>
    <xf numFmtId="0" fontId="7" fillId="13" borderId="19" xfId="0" applyFont="1" applyFill="1" applyBorder="1" applyAlignment="1">
      <alignment vertical="top" wrapText="1"/>
    </xf>
    <xf numFmtId="0" fontId="5" fillId="0" borderId="1" xfId="0" applyFont="1" applyBorder="1" applyAlignment="1">
      <alignment/>
    </xf>
    <xf numFmtId="0" fontId="5" fillId="0" borderId="6" xfId="0" applyFont="1" applyBorder="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AL163535A" xfId="21"/>
    <cellStyle name="Percent" xfId="22"/>
  </cellStyles>
  <dxfs count="2">
    <dxf>
      <fill>
        <patternFill>
          <bgColor rgb="FFFF0000"/>
        </patternFill>
      </fill>
      <border/>
    </dxf>
    <dxf>
      <font>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check formulas</a:t>
            </a:r>
          </a:p>
        </c:rich>
      </c:tx>
      <c:layout/>
      <c:spPr>
        <a:noFill/>
        <a:ln>
          <a:noFill/>
        </a:ln>
      </c:spPr>
    </c:title>
    <c:plotArea>
      <c:layout/>
      <c:scatterChart>
        <c:scatterStyle val="lineMarker"/>
        <c:varyColors val="0"/>
        <c:ser>
          <c:idx val="0"/>
          <c:order val="0"/>
          <c:tx>
            <c:strRef>
              <c:f>Platforms!$A$20:$A$133</c:f>
              <c:strCache>
                <c:ptCount val="1"/>
                <c:pt idx="0">
                  <c:v>6130 DOOSMFWDTSS-PWR REV 6140 DCABMFWDTSS 6140 DCABMFWDTSS-PWR REV 6140 DOOSMFWDTSS 6140 DOOSMFWDTSS-PWR REV 6230CAB2WDS+ 6230CAB2WDPQ+ 6230OOS2WDS+ 6230OOS2WDPQ 6230Premium2WDPQ+ 6230Premium2WDAQ+ 6230CABMFWDS+ 6230CABMFWDPQ+ 6230OOSMFWDS+ 6230OOSMFWDPQ</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Platforms!$Q$3:$Q$133</c:f>
              <c:numCache>
                <c:ptCount val="1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numCache>
            </c:numRef>
          </c:xVal>
          <c:yVal>
            <c:numRef>
              <c:f>Platforms!$R$3:$R$133</c:f>
              <c:numCache>
                <c:ptCount val="1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Platforms!$Q$3:$Q$133</c:f>
              <c:numCache>
                <c:ptCount val="1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numCache>
            </c:numRef>
          </c:xVal>
          <c:yVal>
            <c:numRef>
              <c:f>Platforms!$S$3:$S$133</c:f>
              <c:numCache>
                <c:ptCount val="1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numCache>
            </c:numRef>
          </c:yVal>
          <c:smooth val="0"/>
        </c:ser>
        <c:axId val="42844518"/>
        <c:axId val="50056343"/>
      </c:scatterChart>
      <c:valAx>
        <c:axId val="42844518"/>
        <c:scaling>
          <c:orientation val="minMax"/>
        </c:scaling>
        <c:axPos val="b"/>
        <c:delete val="0"/>
        <c:numFmt formatCode="General" sourceLinked="1"/>
        <c:majorTickMark val="out"/>
        <c:minorTickMark val="none"/>
        <c:tickLblPos val="nextTo"/>
        <c:crossAx val="50056343"/>
        <c:crosses val="autoZero"/>
        <c:crossBetween val="midCat"/>
        <c:dispUnits/>
      </c:valAx>
      <c:valAx>
        <c:axId val="50056343"/>
        <c:scaling>
          <c:orientation val="minMax"/>
        </c:scaling>
        <c:axPos val="l"/>
        <c:majorGridlines/>
        <c:delete val="0"/>
        <c:numFmt formatCode="General" sourceLinked="1"/>
        <c:majorTickMark val="out"/>
        <c:minorTickMark val="none"/>
        <c:tickLblPos val="nextTo"/>
        <c:crossAx val="42844518"/>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136</xdr:row>
      <xdr:rowOff>133350</xdr:rowOff>
    </xdr:from>
    <xdr:to>
      <xdr:col>13</xdr:col>
      <xdr:colOff>266700</xdr:colOff>
      <xdr:row>156</xdr:row>
      <xdr:rowOff>95250</xdr:rowOff>
    </xdr:to>
    <xdr:graphicFrame>
      <xdr:nvGraphicFramePr>
        <xdr:cNvPr id="1" name="Chart 16"/>
        <xdr:cNvGraphicFramePr/>
      </xdr:nvGraphicFramePr>
      <xdr:xfrm>
        <a:off x="4981575" y="22802850"/>
        <a:ext cx="4800600" cy="32004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eere.com/Documents%20and%20Settings\ks00450\My%20Documents\My%20Received%20Files\Utility%20and%20Small%20Row-Crop%20Tractor%20Ballast%20Calculator_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last_Calculator"/>
      <sheetName val="DATA_&amp;_CODE"/>
      <sheetName val="Ballasting_Formulas"/>
      <sheetName val="Statics Calculations"/>
      <sheetName val="Kmaps"/>
    </sheetNames>
    <sheetDataSet>
      <sheetData sheetId="0">
        <row r="39">
          <cell r="D39">
            <v>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Q71"/>
  <sheetViews>
    <sheetView tabSelected="1" zoomScale="90" zoomScaleNormal="90" zoomScaleSheetLayoutView="100" workbookViewId="0" topLeftCell="A1">
      <selection activeCell="D29" sqref="D29"/>
    </sheetView>
  </sheetViews>
  <sheetFormatPr defaultColWidth="9.140625" defaultRowHeight="12.75"/>
  <cols>
    <col min="1" max="1" width="5.140625" style="139" customWidth="1"/>
    <col min="2" max="2" width="28.140625" style="126" customWidth="1"/>
    <col min="3" max="3" width="0.5625" style="125" customWidth="1"/>
    <col min="4" max="5" width="9.140625" style="126" customWidth="1"/>
    <col min="6" max="6" width="25.00390625" style="126" customWidth="1"/>
    <col min="7" max="8" width="9.140625" style="126" customWidth="1"/>
    <col min="9" max="9" width="22.421875" style="126" customWidth="1"/>
    <col min="10" max="10" width="6.00390625" style="139" customWidth="1"/>
    <col min="11" max="16384" width="9.140625" style="126" customWidth="1"/>
  </cols>
  <sheetData>
    <row r="1" spans="2:5" s="136" customFormat="1" ht="14.25" customHeight="1">
      <c r="B1" s="137"/>
      <c r="C1" s="137"/>
      <c r="D1" s="137"/>
      <c r="E1" s="138" t="s">
        <v>563</v>
      </c>
    </row>
    <row r="2" s="136" customFormat="1" ht="21" customHeight="1">
      <c r="B2" s="138" t="s">
        <v>447</v>
      </c>
    </row>
    <row r="3" s="136" customFormat="1" ht="21" customHeight="1">
      <c r="B3" s="171" t="s">
        <v>516</v>
      </c>
    </row>
    <row r="4" spans="2:10" s="139" customFormat="1" ht="66" customHeight="1">
      <c r="B4" s="184" t="s">
        <v>517</v>
      </c>
      <c r="C4" s="185"/>
      <c r="D4" s="185"/>
      <c r="E4" s="185"/>
      <c r="F4" s="185"/>
      <c r="G4" s="185"/>
      <c r="H4" s="185"/>
      <c r="I4" s="185"/>
      <c r="J4" s="185"/>
    </row>
    <row r="5" s="139" customFormat="1" ht="12.75"/>
    <row r="6" s="139" customFormat="1" ht="12.75">
      <c r="B6" s="141" t="s">
        <v>515</v>
      </c>
    </row>
    <row r="7" spans="2:9" s="139" customFormat="1" ht="27" customHeight="1">
      <c r="B7" s="184" t="s">
        <v>518</v>
      </c>
      <c r="C7" s="186"/>
      <c r="D7" s="186"/>
      <c r="E7" s="186"/>
      <c r="F7" s="186"/>
      <c r="G7" s="186"/>
      <c r="H7" s="186"/>
      <c r="I7" s="186"/>
    </row>
    <row r="8" spans="2:9" s="139" customFormat="1" ht="12.75">
      <c r="B8" s="140"/>
      <c r="C8" s="142"/>
      <c r="D8" s="142"/>
      <c r="E8" s="142"/>
      <c r="F8" s="142"/>
      <c r="G8" s="142"/>
      <c r="H8" s="142"/>
      <c r="I8" s="142"/>
    </row>
    <row r="9" spans="2:9" s="139" customFormat="1" ht="12.75">
      <c r="B9" s="178" t="s">
        <v>489</v>
      </c>
      <c r="C9" s="178"/>
      <c r="D9" s="178"/>
      <c r="E9" s="178"/>
      <c r="F9" s="178"/>
      <c r="G9" s="178"/>
      <c r="H9" s="178"/>
      <c r="I9" s="178"/>
    </row>
    <row r="10" s="139" customFormat="1" ht="12.75"/>
    <row r="11" spans="2:9" s="139" customFormat="1" ht="38.25" customHeight="1">
      <c r="B11" s="184" t="s">
        <v>559</v>
      </c>
      <c r="C11" s="192"/>
      <c r="D11" s="192"/>
      <c r="E11" s="192"/>
      <c r="F11" s="192"/>
      <c r="G11" s="192"/>
      <c r="H11" s="192"/>
      <c r="I11" s="192"/>
    </row>
    <row r="12" s="139" customFormat="1" ht="12.75"/>
    <row r="13" s="139" customFormat="1" ht="12.75">
      <c r="B13" s="143" t="s">
        <v>466</v>
      </c>
    </row>
    <row r="14" spans="2:9" s="139" customFormat="1" ht="12.75">
      <c r="B14" s="193" t="s">
        <v>519</v>
      </c>
      <c r="C14" s="194"/>
      <c r="D14" s="194"/>
      <c r="E14" s="194"/>
      <c r="F14" s="194"/>
      <c r="G14" s="194"/>
      <c r="H14" s="194"/>
      <c r="I14" s="194"/>
    </row>
    <row r="15" s="139" customFormat="1" ht="12.75"/>
    <row r="16" spans="2:9" s="139" customFormat="1" ht="24.75" customHeight="1">
      <c r="B16" s="174" t="s">
        <v>520</v>
      </c>
      <c r="C16" s="192"/>
      <c r="D16" s="192"/>
      <c r="E16" s="192"/>
      <c r="F16" s="192"/>
      <c r="G16" s="192"/>
      <c r="H16" s="192"/>
      <c r="I16" s="192"/>
    </row>
    <row r="17" s="139" customFormat="1" ht="12.75"/>
    <row r="18" spans="2:9" s="139" customFormat="1" ht="12.75">
      <c r="B18" s="179" t="s">
        <v>487</v>
      </c>
      <c r="C18" s="179"/>
      <c r="D18" s="179"/>
      <c r="E18" s="179"/>
      <c r="F18" s="179"/>
      <c r="G18" s="179"/>
      <c r="H18" s="179"/>
      <c r="I18" s="179"/>
    </row>
    <row r="19" spans="2:9" s="139" customFormat="1" ht="25.5" customHeight="1">
      <c r="B19" s="179" t="s">
        <v>560</v>
      </c>
      <c r="C19" s="197"/>
      <c r="D19" s="197"/>
      <c r="E19" s="197"/>
      <c r="F19" s="197"/>
      <c r="G19" s="197"/>
      <c r="H19" s="197"/>
      <c r="I19" s="197"/>
    </row>
    <row r="20" s="139" customFormat="1" ht="12.75">
      <c r="B20" s="144" t="s">
        <v>561</v>
      </c>
    </row>
    <row r="21" s="139" customFormat="1" ht="12.75">
      <c r="B21" s="144" t="s">
        <v>488</v>
      </c>
    </row>
    <row r="22" s="139" customFormat="1" ht="13.5" thickBot="1"/>
    <row r="23" spans="7:13" s="139" customFormat="1" ht="12.75" hidden="1">
      <c r="G23" s="144"/>
      <c r="H23" s="144" t="s">
        <v>83</v>
      </c>
      <c r="I23" s="144"/>
      <c r="J23" s="144"/>
      <c r="K23" s="144"/>
      <c r="L23" s="144"/>
      <c r="M23" s="144"/>
    </row>
    <row r="24" spans="4:13" s="139" customFormat="1" ht="12.75" hidden="1">
      <c r="D24" s="139">
        <v>0.4535924</v>
      </c>
      <c r="G24" s="144">
        <f>VLOOKUP(D31,'Drop down Options'!A2:B13,2,FALSE)</f>
        <v>7430</v>
      </c>
      <c r="H24" s="144" t="str">
        <f>VLOOKUP(D33,'Drop down Options'!D15:E17,2,FALSE)</f>
        <v>PREMIUM</v>
      </c>
      <c r="I24" s="144" t="str">
        <f>VLOOKUP(D35,'Drop down Options'!F19:G21,2,FALSE)</f>
        <v>MFWD</v>
      </c>
      <c r="J24" s="144" t="str">
        <f>VLOOKUP(D37,'Drop down Options'!H23:I29,2,FALSE)</f>
        <v>IVT</v>
      </c>
      <c r="K24" s="144" t="str">
        <f>CONCATENATE(G24,H24,I24,J24)</f>
        <v>7430PREMIUMMFWDIVT</v>
      </c>
      <c r="L24" s="144"/>
      <c r="M24" s="144"/>
    </row>
    <row r="25" spans="7:13" s="139" customFormat="1" ht="12.75" hidden="1">
      <c r="G25" s="144"/>
      <c r="H25" s="144"/>
      <c r="I25" s="144"/>
      <c r="J25" s="144"/>
      <c r="K25" s="144" t="str">
        <f>IF(ISNUMBER(VLOOKUP(K24,Platforms!A3:B133,2,FALSE)),"Yes","No")</f>
        <v>Yes</v>
      </c>
      <c r="L25" s="144"/>
      <c r="M25" s="144"/>
    </row>
    <row r="26" spans="7:13" s="139" customFormat="1" ht="13.5" hidden="1" thickBot="1">
      <c r="G26" s="144"/>
      <c r="H26" s="144"/>
      <c r="I26" s="144"/>
      <c r="J26" s="144"/>
      <c r="K26" s="144"/>
      <c r="L26" s="144"/>
      <c r="M26" s="144"/>
    </row>
    <row r="27" spans="2:95" ht="23.25" customHeight="1">
      <c r="B27" s="180" t="s">
        <v>562</v>
      </c>
      <c r="C27" s="181"/>
      <c r="D27" s="181"/>
      <c r="E27" s="181"/>
      <c r="F27" s="181"/>
      <c r="G27" s="181"/>
      <c r="H27" s="181"/>
      <c r="I27" s="181"/>
      <c r="J27" s="182"/>
      <c r="K27" s="182"/>
      <c r="L27" s="182"/>
      <c r="M27" s="183"/>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c r="BI27" s="139"/>
      <c r="BJ27" s="139"/>
      <c r="BK27" s="139"/>
      <c r="BL27" s="139"/>
      <c r="BM27" s="139"/>
      <c r="BN27" s="139"/>
      <c r="BO27" s="139"/>
      <c r="BP27" s="139"/>
      <c r="BQ27" s="139"/>
      <c r="BR27" s="139"/>
      <c r="BS27" s="139"/>
      <c r="BT27" s="139"/>
      <c r="BU27" s="139"/>
      <c r="BV27" s="139"/>
      <c r="BW27" s="139"/>
      <c r="BX27" s="139"/>
      <c r="BY27" s="139"/>
      <c r="BZ27" s="139"/>
      <c r="CA27" s="139"/>
      <c r="CB27" s="139"/>
      <c r="CC27" s="139"/>
      <c r="CD27" s="139"/>
      <c r="CE27" s="139"/>
      <c r="CF27" s="139"/>
      <c r="CG27" s="139"/>
      <c r="CH27" s="139"/>
      <c r="CI27" s="139"/>
      <c r="CJ27" s="139"/>
      <c r="CK27" s="139"/>
      <c r="CL27" s="139"/>
      <c r="CM27" s="139"/>
      <c r="CN27" s="139"/>
      <c r="CO27" s="139"/>
      <c r="CP27" s="139"/>
      <c r="CQ27" s="139"/>
    </row>
    <row r="28" spans="2:95" ht="23.25" customHeight="1">
      <c r="B28" s="169"/>
      <c r="C28" s="163"/>
      <c r="D28" s="163"/>
      <c r="E28" s="163"/>
      <c r="F28" s="163"/>
      <c r="G28" s="163"/>
      <c r="H28" s="163"/>
      <c r="I28" s="163"/>
      <c r="J28" s="164"/>
      <c r="K28" s="164"/>
      <c r="L28" s="164"/>
      <c r="M28" s="170"/>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39"/>
      <c r="BE28" s="139"/>
      <c r="BF28" s="139"/>
      <c r="BG28" s="139"/>
      <c r="BH28" s="139"/>
      <c r="BI28" s="139"/>
      <c r="BJ28" s="139"/>
      <c r="BK28" s="139"/>
      <c r="BL28" s="139"/>
      <c r="BM28" s="139"/>
      <c r="BN28" s="139"/>
      <c r="BO28" s="139"/>
      <c r="BP28" s="139"/>
      <c r="BQ28" s="139"/>
      <c r="BR28" s="139"/>
      <c r="BS28" s="139"/>
      <c r="BT28" s="139"/>
      <c r="BU28" s="139"/>
      <c r="BV28" s="139"/>
      <c r="BW28" s="139"/>
      <c r="BX28" s="139"/>
      <c r="BY28" s="139"/>
      <c r="BZ28" s="139"/>
      <c r="CA28" s="139"/>
      <c r="CB28" s="139"/>
      <c r="CC28" s="139"/>
      <c r="CD28" s="139"/>
      <c r="CE28" s="139"/>
      <c r="CF28" s="139"/>
      <c r="CG28" s="139"/>
      <c r="CH28" s="139"/>
      <c r="CI28" s="139"/>
      <c r="CJ28" s="139"/>
      <c r="CK28" s="139"/>
      <c r="CL28" s="139"/>
      <c r="CM28" s="139"/>
      <c r="CN28" s="139"/>
      <c r="CO28" s="139"/>
      <c r="CP28" s="139"/>
      <c r="CQ28" s="139"/>
    </row>
    <row r="29" spans="2:95" ht="12.75">
      <c r="B29" s="148" t="s">
        <v>511</v>
      </c>
      <c r="C29" s="129"/>
      <c r="D29" s="172">
        <v>1</v>
      </c>
      <c r="E29" s="129"/>
      <c r="F29" s="129"/>
      <c r="G29" s="129"/>
      <c r="H29" s="129"/>
      <c r="I29" s="129"/>
      <c r="J29" s="146"/>
      <c r="K29" s="146"/>
      <c r="L29" s="146"/>
      <c r="M29" s="147"/>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c r="BI29" s="139"/>
      <c r="BJ29" s="139"/>
      <c r="BK29" s="139"/>
      <c r="BL29" s="139"/>
      <c r="BM29" s="139"/>
      <c r="BN29" s="139"/>
      <c r="BO29" s="139"/>
      <c r="BP29" s="139"/>
      <c r="BQ29" s="139"/>
      <c r="BR29" s="139"/>
      <c r="BS29" s="139"/>
      <c r="BT29" s="139"/>
      <c r="BU29" s="139"/>
      <c r="BV29" s="139"/>
      <c r="BW29" s="139"/>
      <c r="BX29" s="139"/>
      <c r="BY29" s="139"/>
      <c r="BZ29" s="139"/>
      <c r="CA29" s="139"/>
      <c r="CB29" s="139"/>
      <c r="CC29" s="139"/>
      <c r="CD29" s="139"/>
      <c r="CE29" s="139"/>
      <c r="CF29" s="139"/>
      <c r="CG29" s="139"/>
      <c r="CH29" s="139"/>
      <c r="CI29" s="139"/>
      <c r="CJ29" s="139"/>
      <c r="CK29" s="139"/>
      <c r="CL29" s="139"/>
      <c r="CM29" s="139"/>
      <c r="CN29" s="139"/>
      <c r="CO29" s="139"/>
      <c r="CP29" s="139"/>
      <c r="CQ29" s="139"/>
    </row>
    <row r="30" spans="2:95" ht="12.75">
      <c r="B30" s="145"/>
      <c r="C30" s="129"/>
      <c r="D30" s="129"/>
      <c r="E30" s="129"/>
      <c r="F30" s="129"/>
      <c r="G30" s="127" t="str">
        <f>IF(D29=2,"Kg/Front","Lbs/Front")</f>
        <v>Lbs/Front</v>
      </c>
      <c r="H30" s="127" t="str">
        <f>IF($D$29=2,"Kg/Rear","Lbs/Rear")</f>
        <v>Lbs/Rear</v>
      </c>
      <c r="I30" s="129"/>
      <c r="J30" s="146"/>
      <c r="K30" s="146"/>
      <c r="L30" s="146"/>
      <c r="M30" s="147"/>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139"/>
      <c r="BX30" s="139"/>
      <c r="BY30" s="139"/>
      <c r="BZ30" s="139"/>
      <c r="CA30" s="139"/>
      <c r="CB30" s="139"/>
      <c r="CC30" s="139"/>
      <c r="CD30" s="139"/>
      <c r="CE30" s="139"/>
      <c r="CF30" s="139"/>
      <c r="CG30" s="139"/>
      <c r="CH30" s="139"/>
      <c r="CI30" s="139"/>
      <c r="CJ30" s="139"/>
      <c r="CK30" s="139"/>
      <c r="CL30" s="139"/>
      <c r="CM30" s="139"/>
      <c r="CN30" s="139"/>
      <c r="CO30" s="139"/>
      <c r="CP30" s="139"/>
      <c r="CQ30" s="139"/>
    </row>
    <row r="31" spans="2:95" ht="12.75">
      <c r="B31" s="148" t="str">
        <f>'Drop down Options'!B1</f>
        <v>Tractor Model</v>
      </c>
      <c r="C31" s="129"/>
      <c r="D31" s="173">
        <v>11</v>
      </c>
      <c r="E31" s="135"/>
      <c r="F31" s="129"/>
      <c r="G31" s="129"/>
      <c r="H31" s="129"/>
      <c r="I31" s="129"/>
      <c r="J31" s="146"/>
      <c r="K31" s="146"/>
      <c r="L31" s="146"/>
      <c r="M31" s="147"/>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S31" s="139"/>
      <c r="BT31" s="139"/>
      <c r="BU31" s="139"/>
      <c r="BV31" s="139"/>
      <c r="BW31" s="139"/>
      <c r="BX31" s="139"/>
      <c r="BY31" s="139"/>
      <c r="BZ31" s="139"/>
      <c r="CA31" s="139"/>
      <c r="CB31" s="139"/>
      <c r="CC31" s="139"/>
      <c r="CD31" s="139"/>
      <c r="CE31" s="139"/>
      <c r="CF31" s="139"/>
      <c r="CG31" s="139"/>
      <c r="CH31" s="139"/>
      <c r="CI31" s="139"/>
      <c r="CJ31" s="139"/>
      <c r="CK31" s="139"/>
      <c r="CL31" s="139"/>
      <c r="CM31" s="139"/>
      <c r="CN31" s="139"/>
      <c r="CO31" s="139"/>
      <c r="CP31" s="139"/>
      <c r="CQ31" s="139"/>
    </row>
    <row r="32" spans="2:95" ht="12.75">
      <c r="B32" s="149"/>
      <c r="C32" s="129"/>
      <c r="D32" s="129"/>
      <c r="E32" s="129"/>
      <c r="F32" s="129"/>
      <c r="G32" s="129"/>
      <c r="H32" s="129"/>
      <c r="I32" s="129"/>
      <c r="J32" s="146"/>
      <c r="K32" s="146"/>
      <c r="L32" s="146"/>
      <c r="M32" s="147"/>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S32" s="139"/>
      <c r="BT32" s="139"/>
      <c r="BU32" s="139"/>
      <c r="BV32" s="139"/>
      <c r="BW32" s="139"/>
      <c r="BX32" s="139"/>
      <c r="BY32" s="139"/>
      <c r="BZ32" s="139"/>
      <c r="CA32" s="139"/>
      <c r="CB32" s="139"/>
      <c r="CC32" s="139"/>
      <c r="CD32" s="139"/>
      <c r="CE32" s="139"/>
      <c r="CF32" s="139"/>
      <c r="CG32" s="139"/>
      <c r="CH32" s="139"/>
      <c r="CI32" s="139"/>
      <c r="CJ32" s="139"/>
      <c r="CK32" s="139"/>
      <c r="CL32" s="139"/>
      <c r="CM32" s="139"/>
      <c r="CN32" s="139"/>
      <c r="CO32" s="139"/>
      <c r="CP32" s="139"/>
      <c r="CQ32" s="139"/>
    </row>
    <row r="33" spans="2:95" ht="12.75">
      <c r="B33" s="148" t="str">
        <f>'Drop down Options'!E14</f>
        <v>Operator Station</v>
      </c>
      <c r="C33" s="129"/>
      <c r="D33" s="173">
        <v>3</v>
      </c>
      <c r="E33" s="135"/>
      <c r="F33" s="129"/>
      <c r="G33" s="129"/>
      <c r="H33" s="129"/>
      <c r="I33" s="129"/>
      <c r="J33" s="146"/>
      <c r="K33" s="146"/>
      <c r="L33" s="146"/>
      <c r="M33" s="147"/>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39"/>
      <c r="BX33" s="139"/>
      <c r="BY33" s="139"/>
      <c r="BZ33" s="139"/>
      <c r="CA33" s="139"/>
      <c r="CB33" s="139"/>
      <c r="CC33" s="139"/>
      <c r="CD33" s="139"/>
      <c r="CE33" s="139"/>
      <c r="CF33" s="139"/>
      <c r="CG33" s="139"/>
      <c r="CH33" s="139"/>
      <c r="CI33" s="139"/>
      <c r="CJ33" s="139"/>
      <c r="CK33" s="139"/>
      <c r="CL33" s="139"/>
      <c r="CM33" s="139"/>
      <c r="CN33" s="139"/>
      <c r="CO33" s="139"/>
      <c r="CP33" s="139"/>
      <c r="CQ33" s="139"/>
    </row>
    <row r="34" spans="2:95" ht="12.75">
      <c r="B34" s="145"/>
      <c r="C34" s="129"/>
      <c r="D34" s="129"/>
      <c r="E34" s="129"/>
      <c r="F34" s="129"/>
      <c r="G34" s="129"/>
      <c r="H34" s="129"/>
      <c r="I34" s="129"/>
      <c r="J34" s="146"/>
      <c r="K34" s="146"/>
      <c r="L34" s="146"/>
      <c r="M34" s="147"/>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c r="BN34" s="139"/>
      <c r="BO34" s="139"/>
      <c r="BP34" s="139"/>
      <c r="BQ34" s="139"/>
      <c r="BR34" s="139"/>
      <c r="BS34" s="139"/>
      <c r="BT34" s="139"/>
      <c r="BU34" s="139"/>
      <c r="BV34" s="139"/>
      <c r="BW34" s="139"/>
      <c r="BX34" s="139"/>
      <c r="BY34" s="139"/>
      <c r="BZ34" s="139"/>
      <c r="CA34" s="139"/>
      <c r="CB34" s="139"/>
      <c r="CC34" s="139"/>
      <c r="CD34" s="139"/>
      <c r="CE34" s="139"/>
      <c r="CF34" s="139"/>
      <c r="CG34" s="139"/>
      <c r="CH34" s="139"/>
      <c r="CI34" s="139"/>
      <c r="CJ34" s="139"/>
      <c r="CK34" s="139"/>
      <c r="CL34" s="139"/>
      <c r="CM34" s="139"/>
      <c r="CN34" s="139"/>
      <c r="CO34" s="139"/>
      <c r="CP34" s="139"/>
      <c r="CQ34" s="139"/>
    </row>
    <row r="35" spans="2:95" ht="12.75">
      <c r="B35" s="148" t="str">
        <f>'Drop down Options'!G18</f>
        <v>Front Axle</v>
      </c>
      <c r="C35" s="129"/>
      <c r="D35" s="173">
        <v>2</v>
      </c>
      <c r="E35" s="135"/>
      <c r="F35" s="129"/>
      <c r="G35" s="129"/>
      <c r="H35" s="129"/>
      <c r="I35" s="129"/>
      <c r="J35" s="146"/>
      <c r="K35" s="146"/>
      <c r="L35" s="146"/>
      <c r="M35" s="147"/>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139"/>
      <c r="BX35" s="139"/>
      <c r="BY35" s="139"/>
      <c r="BZ35" s="139"/>
      <c r="CA35" s="139"/>
      <c r="CB35" s="139"/>
      <c r="CC35" s="139"/>
      <c r="CD35" s="139"/>
      <c r="CE35" s="139"/>
      <c r="CF35" s="139"/>
      <c r="CG35" s="139"/>
      <c r="CH35" s="139"/>
      <c r="CI35" s="139"/>
      <c r="CJ35" s="139"/>
      <c r="CK35" s="139"/>
      <c r="CL35" s="139"/>
      <c r="CM35" s="139"/>
      <c r="CN35" s="139"/>
      <c r="CO35" s="139"/>
      <c r="CP35" s="139"/>
      <c r="CQ35" s="139"/>
    </row>
    <row r="36" spans="2:95" ht="12.75">
      <c r="B36" s="145"/>
      <c r="C36" s="129"/>
      <c r="D36" s="129"/>
      <c r="E36" s="129"/>
      <c r="F36" s="129"/>
      <c r="G36" s="129"/>
      <c r="H36" s="129"/>
      <c r="I36" s="129"/>
      <c r="J36" s="146"/>
      <c r="K36" s="146"/>
      <c r="L36" s="146"/>
      <c r="M36" s="147"/>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139"/>
      <c r="BY36" s="139"/>
      <c r="BZ36" s="139"/>
      <c r="CA36" s="139"/>
      <c r="CB36" s="139"/>
      <c r="CC36" s="139"/>
      <c r="CD36" s="139"/>
      <c r="CE36" s="139"/>
      <c r="CF36" s="139"/>
      <c r="CG36" s="139"/>
      <c r="CH36" s="139"/>
      <c r="CI36" s="139"/>
      <c r="CJ36" s="139"/>
      <c r="CK36" s="139"/>
      <c r="CL36" s="139"/>
      <c r="CM36" s="139"/>
      <c r="CN36" s="139"/>
      <c r="CO36" s="139"/>
      <c r="CP36" s="139"/>
      <c r="CQ36" s="139"/>
    </row>
    <row r="37" spans="2:95" ht="12.75">
      <c r="B37" s="148" t="str">
        <f>'Drop down Options'!I22</f>
        <v>Transmission</v>
      </c>
      <c r="C37" s="129"/>
      <c r="D37" s="173">
        <v>7</v>
      </c>
      <c r="E37" s="135"/>
      <c r="F37" s="129"/>
      <c r="G37" s="133">
        <f>IF(D29=2,VLOOKUP(K24,Platforms!A3:S133,17,FALSE),VLOOKUP(K24,Platforms!A3:S133,17,FALSE)/$D$24)</f>
        <v>4997.172057290349</v>
      </c>
      <c r="H37" s="133">
        <f>IF(D29=2,VLOOKUP(K24,Platforms!A3:S133,18,FALSE),VLOOKUP(K24,Platforms!A3:S133,18,FALSE)/$D$24)</f>
        <v>9773.798532163974</v>
      </c>
      <c r="I37" s="129"/>
      <c r="J37" s="146"/>
      <c r="K37" s="146"/>
      <c r="L37" s="146"/>
      <c r="M37" s="147"/>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39"/>
      <c r="BN37" s="139"/>
      <c r="BO37" s="139"/>
      <c r="BP37" s="139"/>
      <c r="BQ37" s="139"/>
      <c r="BR37" s="139"/>
      <c r="BS37" s="139"/>
      <c r="BT37" s="139"/>
      <c r="BU37" s="139"/>
      <c r="BV37" s="139"/>
      <c r="BW37" s="139"/>
      <c r="BX37" s="139"/>
      <c r="BY37" s="139"/>
      <c r="BZ37" s="139"/>
      <c r="CA37" s="139"/>
      <c r="CB37" s="139"/>
      <c r="CC37" s="139"/>
      <c r="CD37" s="139"/>
      <c r="CE37" s="139"/>
      <c r="CF37" s="139"/>
      <c r="CG37" s="139"/>
      <c r="CH37" s="139"/>
      <c r="CI37" s="139"/>
      <c r="CJ37" s="139"/>
      <c r="CK37" s="139"/>
      <c r="CL37" s="139"/>
      <c r="CM37" s="139"/>
      <c r="CN37" s="139"/>
      <c r="CO37" s="139"/>
      <c r="CP37" s="139"/>
      <c r="CQ37" s="139"/>
    </row>
    <row r="38" spans="2:95" ht="12.75">
      <c r="B38" s="149"/>
      <c r="C38" s="129"/>
      <c r="D38" s="129"/>
      <c r="E38" s="129"/>
      <c r="F38" s="129"/>
      <c r="G38" s="129"/>
      <c r="H38" s="129"/>
      <c r="I38" s="129"/>
      <c r="J38" s="146"/>
      <c r="K38" s="146"/>
      <c r="L38" s="146"/>
      <c r="M38" s="147"/>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c r="BI38" s="139"/>
      <c r="BJ38" s="139"/>
      <c r="BK38" s="139"/>
      <c r="BL38" s="139"/>
      <c r="BM38" s="139"/>
      <c r="BN38" s="139"/>
      <c r="BO38" s="139"/>
      <c r="BP38" s="139"/>
      <c r="BQ38" s="139"/>
      <c r="BR38" s="139"/>
      <c r="BS38" s="139"/>
      <c r="BT38" s="139"/>
      <c r="BU38" s="139"/>
      <c r="BV38" s="139"/>
      <c r="BW38" s="139"/>
      <c r="BX38" s="139"/>
      <c r="BY38" s="139"/>
      <c r="BZ38" s="139"/>
      <c r="CA38" s="139"/>
      <c r="CB38" s="139"/>
      <c r="CC38" s="139"/>
      <c r="CD38" s="139"/>
      <c r="CE38" s="139"/>
      <c r="CF38" s="139"/>
      <c r="CG38" s="139"/>
      <c r="CH38" s="139"/>
      <c r="CI38" s="139"/>
      <c r="CJ38" s="139"/>
      <c r="CK38" s="139"/>
      <c r="CL38" s="139"/>
      <c r="CM38" s="139"/>
      <c r="CN38" s="139"/>
      <c r="CO38" s="139"/>
      <c r="CP38" s="139"/>
      <c r="CQ38" s="139"/>
    </row>
    <row r="39" spans="2:95" ht="12.75">
      <c r="B39" s="148" t="s">
        <v>451</v>
      </c>
      <c r="C39" s="129"/>
      <c r="D39" s="175" t="str">
        <f>K25</f>
        <v>Yes</v>
      </c>
      <c r="E39" s="176"/>
      <c r="F39" s="129"/>
      <c r="G39" s="129"/>
      <c r="H39" s="129"/>
      <c r="I39" s="129"/>
      <c r="J39" s="146"/>
      <c r="K39" s="146"/>
      <c r="L39" s="146"/>
      <c r="M39" s="147"/>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139"/>
      <c r="BY39" s="139"/>
      <c r="BZ39" s="139"/>
      <c r="CA39" s="139"/>
      <c r="CB39" s="139"/>
      <c r="CC39" s="139"/>
      <c r="CD39" s="139"/>
      <c r="CE39" s="139"/>
      <c r="CF39" s="139"/>
      <c r="CG39" s="139"/>
      <c r="CH39" s="139"/>
      <c r="CI39" s="139"/>
      <c r="CJ39" s="139"/>
      <c r="CK39" s="139"/>
      <c r="CL39" s="139"/>
      <c r="CM39" s="139"/>
      <c r="CN39" s="139"/>
      <c r="CO39" s="139"/>
      <c r="CP39" s="139"/>
      <c r="CQ39" s="139"/>
    </row>
    <row r="40" spans="2:95" ht="12.75">
      <c r="B40" s="145"/>
      <c r="C40" s="129"/>
      <c r="D40" s="150"/>
      <c r="E40" s="150"/>
      <c r="F40" s="129"/>
      <c r="G40" s="129"/>
      <c r="H40" s="129"/>
      <c r="I40" s="129"/>
      <c r="J40" s="146"/>
      <c r="K40" s="146"/>
      <c r="L40" s="146"/>
      <c r="M40" s="147"/>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139"/>
      <c r="BY40" s="139"/>
      <c r="BZ40" s="139"/>
      <c r="CA40" s="139"/>
      <c r="CB40" s="139"/>
      <c r="CC40" s="139"/>
      <c r="CD40" s="139"/>
      <c r="CE40" s="139"/>
      <c r="CF40" s="139"/>
      <c r="CG40" s="139"/>
      <c r="CH40" s="139"/>
      <c r="CI40" s="139"/>
      <c r="CJ40" s="139"/>
      <c r="CK40" s="139"/>
      <c r="CL40" s="139"/>
      <c r="CM40" s="139"/>
      <c r="CN40" s="139"/>
      <c r="CO40" s="139"/>
      <c r="CP40" s="139"/>
      <c r="CQ40" s="139"/>
    </row>
    <row r="41" spans="2:95" ht="12.75">
      <c r="B41" s="148" t="str">
        <f>'Drop down Options'!L32</f>
        <v>Front Tire Size (kg)</v>
      </c>
      <c r="C41" s="129"/>
      <c r="D41" s="172">
        <v>49</v>
      </c>
      <c r="E41" s="135"/>
      <c r="F41" s="129"/>
      <c r="G41" s="133">
        <f>IF(D29=2,(VLOOKUP(D41,'Drop down Options'!K34:P100,6,FALSE)+VLOOKUP(D41,'Drop down Options'!K34:Q100,7,FALSE))*2,(VLOOKUP(D41,'Drop down Options'!K34:P100,6,FALSE)+VLOOKUP(D41,'Drop down Options'!K34:Q100,7,FALSE))*2/$D$24)</f>
        <v>622.673572132161</v>
      </c>
      <c r="H41" s="133">
        <v>0</v>
      </c>
      <c r="I41" s="129"/>
      <c r="J41" s="146"/>
      <c r="K41" s="146"/>
      <c r="L41" s="146"/>
      <c r="M41" s="147"/>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39"/>
      <c r="BJ41" s="139"/>
      <c r="BK41" s="139"/>
      <c r="BL41" s="139"/>
      <c r="BM41" s="139"/>
      <c r="BN41" s="139"/>
      <c r="BO41" s="139"/>
      <c r="BP41" s="139"/>
      <c r="BQ41" s="139"/>
      <c r="BR41" s="139"/>
      <c r="BS41" s="139"/>
      <c r="BT41" s="139"/>
      <c r="BU41" s="139"/>
      <c r="BV41" s="139"/>
      <c r="BW41" s="139"/>
      <c r="BX41" s="139"/>
      <c r="BY41" s="139"/>
      <c r="BZ41" s="139"/>
      <c r="CA41" s="139"/>
      <c r="CB41" s="139"/>
      <c r="CC41" s="139"/>
      <c r="CD41" s="139"/>
      <c r="CE41" s="139"/>
      <c r="CF41" s="139"/>
      <c r="CG41" s="139"/>
      <c r="CH41" s="139"/>
      <c r="CI41" s="139"/>
      <c r="CJ41" s="139"/>
      <c r="CK41" s="139"/>
      <c r="CL41" s="139"/>
      <c r="CM41" s="139"/>
      <c r="CN41" s="139"/>
      <c r="CO41" s="139"/>
      <c r="CP41" s="139"/>
      <c r="CQ41" s="139"/>
    </row>
    <row r="42" spans="2:95" ht="12.75">
      <c r="B42" s="145"/>
      <c r="C42" s="129"/>
      <c r="D42" s="129"/>
      <c r="E42" s="129"/>
      <c r="F42" s="129"/>
      <c r="G42" s="129"/>
      <c r="H42" s="129"/>
      <c r="I42" s="129"/>
      <c r="J42" s="146"/>
      <c r="K42" s="146"/>
      <c r="L42" s="146"/>
      <c r="M42" s="147"/>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39"/>
      <c r="BJ42" s="139"/>
      <c r="BK42" s="139"/>
      <c r="BL42" s="139"/>
      <c r="BM42" s="139"/>
      <c r="BN42" s="139"/>
      <c r="BO42" s="139"/>
      <c r="BP42" s="139"/>
      <c r="BQ42" s="139"/>
      <c r="BR42" s="139"/>
      <c r="BS42" s="139"/>
      <c r="BT42" s="139"/>
      <c r="BU42" s="139"/>
      <c r="BV42" s="139"/>
      <c r="BW42" s="139"/>
      <c r="BX42" s="139"/>
      <c r="BY42" s="139"/>
      <c r="BZ42" s="139"/>
      <c r="CA42" s="139"/>
      <c r="CB42" s="139"/>
      <c r="CC42" s="139"/>
      <c r="CD42" s="139"/>
      <c r="CE42" s="139"/>
      <c r="CF42" s="139"/>
      <c r="CG42" s="139"/>
      <c r="CH42" s="139"/>
      <c r="CI42" s="139"/>
      <c r="CJ42" s="139"/>
      <c r="CK42" s="139"/>
      <c r="CL42" s="139"/>
      <c r="CM42" s="139"/>
      <c r="CN42" s="139"/>
      <c r="CO42" s="139"/>
      <c r="CP42" s="139"/>
      <c r="CQ42" s="139"/>
    </row>
    <row r="43" spans="2:95" ht="12.75">
      <c r="B43" s="148" t="str">
        <f>'Drop down Options'!V101</f>
        <v>Rear Tire Size (kg)</v>
      </c>
      <c r="C43" s="129"/>
      <c r="D43" s="173">
        <v>38</v>
      </c>
      <c r="E43" s="135"/>
      <c r="F43" s="129"/>
      <c r="G43" s="133">
        <v>0</v>
      </c>
      <c r="H43" s="133">
        <f>IF(D29=2,(VLOOKUP(D43,'Drop down Options'!U103:AC186,9,FALSE)+VLOOKUP(D43,'Drop down Options'!U103:AE186,11,FALSE))*2,(VLOOKUP(D43,'Drop down Options'!U103:AC186,9,FALSE)+VLOOKUP(D43,'Drop down Options'!U103:AE186,11,FALSE))*2/$D$24)</f>
        <v>1095.4989545680219</v>
      </c>
      <c r="I43" s="129"/>
      <c r="J43" s="146"/>
      <c r="K43" s="146"/>
      <c r="L43" s="146"/>
      <c r="M43" s="147"/>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c r="BE43" s="139"/>
      <c r="BF43" s="139"/>
      <c r="BG43" s="139"/>
      <c r="BH43" s="139"/>
      <c r="BI43" s="139"/>
      <c r="BJ43" s="139"/>
      <c r="BK43" s="139"/>
      <c r="BL43" s="139"/>
      <c r="BM43" s="139"/>
      <c r="BN43" s="139"/>
      <c r="BO43" s="139"/>
      <c r="BP43" s="139"/>
      <c r="BQ43" s="139"/>
      <c r="BR43" s="139"/>
      <c r="BS43" s="139"/>
      <c r="BT43" s="139"/>
      <c r="BU43" s="139"/>
      <c r="BV43" s="139"/>
      <c r="BW43" s="139"/>
      <c r="BX43" s="139"/>
      <c r="BY43" s="139"/>
      <c r="BZ43" s="139"/>
      <c r="CA43" s="139"/>
      <c r="CB43" s="139"/>
      <c r="CC43" s="139"/>
      <c r="CD43" s="139"/>
      <c r="CE43" s="139"/>
      <c r="CF43" s="139"/>
      <c r="CG43" s="139"/>
      <c r="CH43" s="139"/>
      <c r="CI43" s="139"/>
      <c r="CJ43" s="139"/>
      <c r="CK43" s="139"/>
      <c r="CL43" s="139"/>
      <c r="CM43" s="139"/>
      <c r="CN43" s="139"/>
      <c r="CO43" s="139"/>
      <c r="CP43" s="139"/>
      <c r="CQ43" s="139"/>
    </row>
    <row r="44" spans="2:95" ht="12.75">
      <c r="B44" s="149"/>
      <c r="C44" s="129"/>
      <c r="D44" s="129"/>
      <c r="E44" s="129"/>
      <c r="F44" s="129"/>
      <c r="G44" s="129"/>
      <c r="H44" s="129"/>
      <c r="I44" s="129"/>
      <c r="J44" s="146"/>
      <c r="K44" s="146"/>
      <c r="L44" s="146"/>
      <c r="M44" s="147"/>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c r="AY44" s="139"/>
      <c r="AZ44" s="139"/>
      <c r="BA44" s="139"/>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139"/>
      <c r="BY44" s="139"/>
      <c r="BZ44" s="139"/>
      <c r="CA44" s="139"/>
      <c r="CB44" s="139"/>
      <c r="CC44" s="139"/>
      <c r="CD44" s="139"/>
      <c r="CE44" s="139"/>
      <c r="CF44" s="139"/>
      <c r="CG44" s="139"/>
      <c r="CH44" s="139"/>
      <c r="CI44" s="139"/>
      <c r="CJ44" s="139"/>
      <c r="CK44" s="139"/>
      <c r="CL44" s="139"/>
      <c r="CM44" s="139"/>
      <c r="CN44" s="139"/>
      <c r="CO44" s="139"/>
      <c r="CP44" s="139"/>
      <c r="CQ44" s="139"/>
    </row>
    <row r="45" spans="2:95" ht="12.75">
      <c r="B45" s="148" t="s">
        <v>445</v>
      </c>
      <c r="C45" s="129"/>
      <c r="D45" s="172">
        <v>2</v>
      </c>
      <c r="E45" s="129"/>
      <c r="F45" s="129"/>
      <c r="G45" s="128">
        <v>0</v>
      </c>
      <c r="H45" s="128">
        <f>IF(VLOOKUP('Ballast Calculator'!D45,'Drop down Options'!AH189:AI190,2,FALSE)="no",0,H43)</f>
        <v>0</v>
      </c>
      <c r="I45" s="129"/>
      <c r="J45" s="146"/>
      <c r="K45" s="146"/>
      <c r="L45" s="146"/>
      <c r="M45" s="147"/>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row>
    <row r="46" spans="2:95" ht="12.75">
      <c r="B46" s="149"/>
      <c r="C46" s="129"/>
      <c r="D46" s="129"/>
      <c r="E46" s="129"/>
      <c r="F46" s="129"/>
      <c r="G46" s="130">
        <f>SUM(G37:G45)</f>
        <v>5619.84562942251</v>
      </c>
      <c r="H46" s="130">
        <f>SUM(H37:H45)</f>
        <v>10869.297486731995</v>
      </c>
      <c r="I46" s="131" t="s">
        <v>444</v>
      </c>
      <c r="J46" s="146"/>
      <c r="K46" s="146"/>
      <c r="L46" s="146"/>
      <c r="M46" s="147"/>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row>
    <row r="47" spans="2:95" ht="12.75">
      <c r="B47" s="149"/>
      <c r="C47" s="129"/>
      <c r="D47" s="129"/>
      <c r="E47" s="129"/>
      <c r="F47" s="129"/>
      <c r="G47" s="162">
        <f>G46/(G46+H46)*100</f>
        <v>34.08209626076152</v>
      </c>
      <c r="H47" s="162">
        <f>H46/(G46+H46)*100</f>
        <v>65.91790373923848</v>
      </c>
      <c r="I47" s="127" t="s">
        <v>465</v>
      </c>
      <c r="J47" s="146"/>
      <c r="K47" s="146"/>
      <c r="L47" s="146"/>
      <c r="M47" s="147"/>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row>
    <row r="48" spans="2:95" ht="12.75">
      <c r="B48" s="149"/>
      <c r="C48" s="129"/>
      <c r="D48" s="129"/>
      <c r="E48" s="129"/>
      <c r="F48" s="129"/>
      <c r="G48" s="129"/>
      <c r="H48" s="129"/>
      <c r="I48" s="129"/>
      <c r="J48" s="146"/>
      <c r="K48" s="146"/>
      <c r="L48" s="146"/>
      <c r="M48" s="147"/>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row>
    <row r="49" spans="2:95" ht="12.75">
      <c r="B49" s="145"/>
      <c r="C49" s="129"/>
      <c r="D49" s="129"/>
      <c r="E49" s="129"/>
      <c r="F49" s="129"/>
      <c r="G49" s="129"/>
      <c r="H49" s="129"/>
      <c r="I49" s="129"/>
      <c r="J49" s="146"/>
      <c r="K49" s="146"/>
      <c r="L49" s="146"/>
      <c r="M49" s="147"/>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39"/>
      <c r="BM49" s="139"/>
      <c r="BN49" s="139"/>
      <c r="BO49" s="139"/>
      <c r="BP49" s="139"/>
      <c r="BQ49" s="139"/>
      <c r="BR49" s="139"/>
      <c r="BS49" s="139"/>
      <c r="BT49" s="139"/>
      <c r="BU49" s="139"/>
      <c r="BV49" s="139"/>
      <c r="BW49" s="139"/>
      <c r="BX49" s="139"/>
      <c r="BY49" s="139"/>
      <c r="BZ49" s="139"/>
      <c r="CA49" s="139"/>
      <c r="CB49" s="139"/>
      <c r="CC49" s="139"/>
      <c r="CD49" s="139"/>
      <c r="CE49" s="139"/>
      <c r="CF49" s="139"/>
      <c r="CG49" s="139"/>
      <c r="CH49" s="139"/>
      <c r="CI49" s="139"/>
      <c r="CJ49" s="139"/>
      <c r="CK49" s="139"/>
      <c r="CL49" s="139"/>
      <c r="CM49" s="139"/>
      <c r="CN49" s="139"/>
      <c r="CO49" s="139"/>
      <c r="CP49" s="139"/>
      <c r="CQ49" s="139"/>
    </row>
    <row r="50" spans="2:95" ht="12.75">
      <c r="B50" s="148" t="str">
        <f>'Drop down Options'!AY197</f>
        <v>Loader</v>
      </c>
      <c r="C50" s="129"/>
      <c r="D50" s="173">
        <v>9</v>
      </c>
      <c r="E50" s="135"/>
      <c r="F50" s="129"/>
      <c r="G50" s="129"/>
      <c r="H50" s="129"/>
      <c r="I50" s="129"/>
      <c r="J50" s="146"/>
      <c r="K50" s="146"/>
      <c r="L50" s="146"/>
      <c r="M50" s="147"/>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39"/>
      <c r="BM50" s="139"/>
      <c r="BN50" s="139"/>
      <c r="BO50" s="139"/>
      <c r="BP50" s="139"/>
      <c r="BQ50" s="139"/>
      <c r="BR50" s="139"/>
      <c r="BS50" s="139"/>
      <c r="BT50" s="139"/>
      <c r="BU50" s="139"/>
      <c r="BV50" s="139"/>
      <c r="BW50" s="139"/>
      <c r="BX50" s="139"/>
      <c r="BY50" s="139"/>
      <c r="BZ50" s="139"/>
      <c r="CA50" s="139"/>
      <c r="CB50" s="139"/>
      <c r="CC50" s="139"/>
      <c r="CD50" s="139"/>
      <c r="CE50" s="139"/>
      <c r="CF50" s="139"/>
      <c r="CG50" s="139"/>
      <c r="CH50" s="139"/>
      <c r="CI50" s="139"/>
      <c r="CJ50" s="139"/>
      <c r="CK50" s="139"/>
      <c r="CL50" s="139"/>
      <c r="CM50" s="139"/>
      <c r="CN50" s="139"/>
      <c r="CO50" s="139"/>
      <c r="CP50" s="139"/>
      <c r="CQ50" s="139"/>
    </row>
    <row r="51" spans="1:95" s="125" customFormat="1" ht="6" customHeight="1">
      <c r="A51" s="139"/>
      <c r="B51" s="149"/>
      <c r="C51" s="129"/>
      <c r="D51" s="129"/>
      <c r="E51" s="129"/>
      <c r="F51" s="129"/>
      <c r="G51" s="129"/>
      <c r="H51" s="129"/>
      <c r="I51" s="129"/>
      <c r="J51" s="146"/>
      <c r="K51" s="146"/>
      <c r="L51" s="146"/>
      <c r="M51" s="147"/>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c r="AY51" s="139"/>
      <c r="AZ51" s="139"/>
      <c r="BA51" s="139"/>
      <c r="BB51" s="139"/>
      <c r="BC51" s="139"/>
      <c r="BD51" s="139"/>
      <c r="BE51" s="139"/>
      <c r="BF51" s="139"/>
      <c r="BG51" s="139"/>
      <c r="BH51" s="139"/>
      <c r="BI51" s="139"/>
      <c r="BJ51" s="139"/>
      <c r="BK51" s="139"/>
      <c r="BL51" s="139"/>
      <c r="BM51" s="139"/>
      <c r="BN51" s="139"/>
      <c r="BO51" s="139"/>
      <c r="BP51" s="139"/>
      <c r="BQ51" s="139"/>
      <c r="BR51" s="139"/>
      <c r="BS51" s="139"/>
      <c r="BT51" s="139"/>
      <c r="BU51" s="139"/>
      <c r="BV51" s="139"/>
      <c r="BW51" s="139"/>
      <c r="BX51" s="139"/>
      <c r="BY51" s="139"/>
      <c r="BZ51" s="139"/>
      <c r="CA51" s="139"/>
      <c r="CB51" s="139"/>
      <c r="CC51" s="139"/>
      <c r="CD51" s="139"/>
      <c r="CE51" s="139"/>
      <c r="CF51" s="139"/>
      <c r="CG51" s="139"/>
      <c r="CH51" s="139"/>
      <c r="CI51" s="139"/>
      <c r="CJ51" s="139"/>
      <c r="CK51" s="139"/>
      <c r="CL51" s="139"/>
      <c r="CM51" s="139"/>
      <c r="CN51" s="139"/>
      <c r="CO51" s="139"/>
      <c r="CP51" s="139"/>
      <c r="CQ51" s="139"/>
    </row>
    <row r="52" spans="2:95" ht="12.75">
      <c r="B52" s="148" t="s">
        <v>459</v>
      </c>
      <c r="C52" s="129"/>
      <c r="D52" s="173">
        <v>1</v>
      </c>
      <c r="E52" s="135"/>
      <c r="F52" s="129"/>
      <c r="G52" s="133">
        <f>IF(D29=2,VLOOKUP(K24,Platforms!A3:AL133,38,FALSE),VLOOKUP(K24,Platforms!A3:AL133,38,FALSE)*D24)</f>
        <v>1131.5006957177168</v>
      </c>
      <c r="H52" s="133">
        <f>IF(D29=2,VLOOKUP(K24,Platforms!A3:AN133,40,FALSE),VLOOKUP(K24,Platforms!A3:AN133,40,FALSE)*D24)</f>
        <v>-501.77836679771684</v>
      </c>
      <c r="I52" s="129"/>
      <c r="J52" s="146"/>
      <c r="K52" s="146"/>
      <c r="L52" s="146"/>
      <c r="M52" s="147"/>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39"/>
      <c r="AY52" s="139"/>
      <c r="AZ52" s="139"/>
      <c r="BA52" s="139"/>
      <c r="BB52" s="139"/>
      <c r="BC52" s="139"/>
      <c r="BD52" s="139"/>
      <c r="BE52" s="139"/>
      <c r="BF52" s="139"/>
      <c r="BG52" s="139"/>
      <c r="BH52" s="139"/>
      <c r="BI52" s="139"/>
      <c r="BJ52" s="139"/>
      <c r="BK52" s="139"/>
      <c r="BL52" s="139"/>
      <c r="BM52" s="139"/>
      <c r="BN52" s="139"/>
      <c r="BO52" s="139"/>
      <c r="BP52" s="139"/>
      <c r="BQ52" s="139"/>
      <c r="BR52" s="139"/>
      <c r="BS52" s="139"/>
      <c r="BT52" s="139"/>
      <c r="BU52" s="139"/>
      <c r="BV52" s="139"/>
      <c r="BW52" s="139"/>
      <c r="BX52" s="139"/>
      <c r="BY52" s="139"/>
      <c r="BZ52" s="139"/>
      <c r="CA52" s="139"/>
      <c r="CB52" s="139"/>
      <c r="CC52" s="139"/>
      <c r="CD52" s="139"/>
      <c r="CE52" s="139"/>
      <c r="CF52" s="139"/>
      <c r="CG52" s="139"/>
      <c r="CH52" s="139"/>
      <c r="CI52" s="139"/>
      <c r="CJ52" s="139"/>
      <c r="CK52" s="139"/>
      <c r="CL52" s="139"/>
      <c r="CM52" s="139"/>
      <c r="CN52" s="139"/>
      <c r="CO52" s="139"/>
      <c r="CP52" s="139"/>
      <c r="CQ52" s="139"/>
    </row>
    <row r="53" spans="2:95" ht="12.75">
      <c r="B53" s="149"/>
      <c r="C53" s="129"/>
      <c r="D53" s="129"/>
      <c r="E53" s="129"/>
      <c r="F53" s="129"/>
      <c r="G53" s="129"/>
      <c r="H53" s="129"/>
      <c r="I53" s="129"/>
      <c r="J53" s="146"/>
      <c r="K53" s="146"/>
      <c r="L53" s="146"/>
      <c r="M53" s="147"/>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39"/>
      <c r="BR53" s="139"/>
      <c r="BS53" s="139"/>
      <c r="BT53" s="139"/>
      <c r="BU53" s="139"/>
      <c r="BV53" s="139"/>
      <c r="BW53" s="139"/>
      <c r="BX53" s="139"/>
      <c r="BY53" s="139"/>
      <c r="BZ53" s="139"/>
      <c r="CA53" s="139"/>
      <c r="CB53" s="139"/>
      <c r="CC53" s="139"/>
      <c r="CD53" s="139"/>
      <c r="CE53" s="139"/>
      <c r="CF53" s="139"/>
      <c r="CG53" s="139"/>
      <c r="CH53" s="139"/>
      <c r="CI53" s="139"/>
      <c r="CJ53" s="139"/>
      <c r="CK53" s="139"/>
      <c r="CL53" s="139"/>
      <c r="CM53" s="139"/>
      <c r="CN53" s="139"/>
      <c r="CO53" s="139"/>
      <c r="CP53" s="139"/>
      <c r="CQ53" s="139"/>
    </row>
    <row r="54" spans="2:95" ht="12.75">
      <c r="B54" s="148" t="str">
        <f>'Drop down Options'!CN274</f>
        <v>Implement</v>
      </c>
      <c r="C54" s="129"/>
      <c r="D54" s="173">
        <v>1</v>
      </c>
      <c r="E54" s="135"/>
      <c r="F54" s="129"/>
      <c r="G54" s="133">
        <f>IF(D29=2,VLOOKUP(K24,Platforms!A3:AO133,41,FALSE),VLOOKUP(K24,Platforms!A3:AO133,41,FALSE)/$D$24)</f>
        <v>0</v>
      </c>
      <c r="H54" s="133">
        <f>IF(D29=2,VLOOKUP(K24,Platforms!A3:AP133,42,FALSE),VLOOKUP(K24,Platforms!A3:AP133,42,FALSE)/$D$24)</f>
        <v>0</v>
      </c>
      <c r="I54" s="129"/>
      <c r="J54" s="146"/>
      <c r="K54" s="146"/>
      <c r="L54" s="146"/>
      <c r="M54" s="147"/>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39"/>
      <c r="AY54" s="139"/>
      <c r="AZ54" s="139"/>
      <c r="BA54" s="139"/>
      <c r="BB54" s="139"/>
      <c r="BC54" s="139"/>
      <c r="BD54" s="139"/>
      <c r="BE54" s="139"/>
      <c r="BF54" s="139"/>
      <c r="BG54" s="139"/>
      <c r="BH54" s="139"/>
      <c r="BI54" s="139"/>
      <c r="BJ54" s="139"/>
      <c r="BK54" s="139"/>
      <c r="BL54" s="139"/>
      <c r="BM54" s="139"/>
      <c r="BN54" s="139"/>
      <c r="BO54" s="139"/>
      <c r="BP54" s="139"/>
      <c r="BQ54" s="139"/>
      <c r="BR54" s="139"/>
      <c r="BS54" s="139"/>
      <c r="BT54" s="139"/>
      <c r="BU54" s="139"/>
      <c r="BV54" s="139"/>
      <c r="BW54" s="139"/>
      <c r="BX54" s="139"/>
      <c r="BY54" s="139"/>
      <c r="BZ54" s="139"/>
      <c r="CA54" s="139"/>
      <c r="CB54" s="139"/>
      <c r="CC54" s="139"/>
      <c r="CD54" s="139"/>
      <c r="CE54" s="139"/>
      <c r="CF54" s="139"/>
      <c r="CG54" s="139"/>
      <c r="CH54" s="139"/>
      <c r="CI54" s="139"/>
      <c r="CJ54" s="139"/>
      <c r="CK54" s="139"/>
      <c r="CL54" s="139"/>
      <c r="CM54" s="139"/>
      <c r="CN54" s="139"/>
      <c r="CO54" s="139"/>
      <c r="CP54" s="139"/>
      <c r="CQ54" s="139"/>
    </row>
    <row r="55" spans="2:95" ht="12.75">
      <c r="B55" s="149"/>
      <c r="C55" s="129"/>
      <c r="D55" s="129"/>
      <c r="E55" s="129"/>
      <c r="F55" s="129"/>
      <c r="G55" s="129"/>
      <c r="H55" s="129"/>
      <c r="I55" s="129"/>
      <c r="J55" s="146"/>
      <c r="K55" s="146"/>
      <c r="L55" s="146"/>
      <c r="M55" s="147"/>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c r="AY55" s="139"/>
      <c r="AZ55" s="139"/>
      <c r="BA55" s="139"/>
      <c r="BB55" s="139"/>
      <c r="BC55" s="139"/>
      <c r="BD55" s="139"/>
      <c r="BE55" s="139"/>
      <c r="BF55" s="139"/>
      <c r="BG55" s="139"/>
      <c r="BH55" s="139"/>
      <c r="BI55" s="139"/>
      <c r="BJ55" s="139"/>
      <c r="BK55" s="139"/>
      <c r="BL55" s="139"/>
      <c r="BM55" s="139"/>
      <c r="BN55" s="139"/>
      <c r="BO55" s="139"/>
      <c r="BP55" s="139"/>
      <c r="BQ55" s="139"/>
      <c r="BR55" s="139"/>
      <c r="BS55" s="139"/>
      <c r="BT55" s="139"/>
      <c r="BU55" s="139"/>
      <c r="BV55" s="139"/>
      <c r="BW55" s="139"/>
      <c r="BX55" s="139"/>
      <c r="BY55" s="139"/>
      <c r="BZ55" s="139"/>
      <c r="CA55" s="139"/>
      <c r="CB55" s="139"/>
      <c r="CC55" s="139"/>
      <c r="CD55" s="139"/>
      <c r="CE55" s="139"/>
      <c r="CF55" s="139"/>
      <c r="CG55" s="139"/>
      <c r="CH55" s="139"/>
      <c r="CI55" s="139"/>
      <c r="CJ55" s="139"/>
      <c r="CK55" s="139"/>
      <c r="CL55" s="139"/>
      <c r="CM55" s="139"/>
      <c r="CN55" s="139"/>
      <c r="CO55" s="139"/>
      <c r="CP55" s="139"/>
      <c r="CQ55" s="139"/>
    </row>
    <row r="56" spans="2:95" ht="12.75" customHeight="1">
      <c r="B56" s="187">
        <f>IF(D54=1,"","Implements connected to the 3-point hitch and not the drawbar are used to calculate ballast.      Implements should not weigh more than 3150 kg or 6944 lbs.")</f>
      </c>
      <c r="C56" s="188"/>
      <c r="D56" s="188"/>
      <c r="E56" s="188"/>
      <c r="F56" s="188"/>
      <c r="G56" s="189"/>
      <c r="H56" s="189"/>
      <c r="I56" s="129"/>
      <c r="J56" s="146"/>
      <c r="K56" s="146"/>
      <c r="L56" s="146"/>
      <c r="M56" s="147"/>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139"/>
      <c r="BD56" s="139"/>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139"/>
      <c r="CC56" s="139"/>
      <c r="CD56" s="139"/>
      <c r="CE56" s="139"/>
      <c r="CF56" s="139"/>
      <c r="CG56" s="139"/>
      <c r="CH56" s="139"/>
      <c r="CI56" s="139"/>
      <c r="CJ56" s="139"/>
      <c r="CK56" s="139"/>
      <c r="CL56" s="139"/>
      <c r="CM56" s="139"/>
      <c r="CN56" s="139"/>
      <c r="CO56" s="139"/>
      <c r="CP56" s="139"/>
      <c r="CQ56" s="139"/>
    </row>
    <row r="57" spans="2:95" ht="12.75">
      <c r="B57" s="190"/>
      <c r="C57" s="188"/>
      <c r="D57" s="188"/>
      <c r="E57" s="188"/>
      <c r="F57" s="188"/>
      <c r="G57" s="189"/>
      <c r="H57" s="189"/>
      <c r="I57" s="129"/>
      <c r="J57" s="146"/>
      <c r="K57" s="146"/>
      <c r="L57" s="146"/>
      <c r="M57" s="147"/>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c r="AQ57" s="139"/>
      <c r="AR57" s="139"/>
      <c r="AS57" s="139"/>
      <c r="AT57" s="139"/>
      <c r="AU57" s="139"/>
      <c r="AV57" s="139"/>
      <c r="AW57" s="139"/>
      <c r="AX57" s="139"/>
      <c r="AY57" s="139"/>
      <c r="AZ57" s="139"/>
      <c r="BA57" s="139"/>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39"/>
      <c r="BX57" s="139"/>
      <c r="BY57" s="139"/>
      <c r="BZ57" s="139"/>
      <c r="CA57" s="139"/>
      <c r="CB57" s="139"/>
      <c r="CC57" s="139"/>
      <c r="CD57" s="139"/>
      <c r="CE57" s="139"/>
      <c r="CF57" s="139"/>
      <c r="CG57" s="139"/>
      <c r="CH57" s="139"/>
      <c r="CI57" s="139"/>
      <c r="CJ57" s="139"/>
      <c r="CK57" s="139"/>
      <c r="CL57" s="139"/>
      <c r="CM57" s="139"/>
      <c r="CN57" s="139"/>
      <c r="CO57" s="139"/>
      <c r="CP57" s="139"/>
      <c r="CQ57" s="139"/>
    </row>
    <row r="58" spans="2:95" ht="12.75">
      <c r="B58" s="149"/>
      <c r="C58" s="129"/>
      <c r="D58" s="129"/>
      <c r="E58" s="129"/>
      <c r="F58" s="129"/>
      <c r="G58" s="129"/>
      <c r="H58" s="129"/>
      <c r="I58" s="129"/>
      <c r="J58" s="146"/>
      <c r="K58" s="146"/>
      <c r="L58" s="146"/>
      <c r="M58" s="147"/>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39"/>
      <c r="AY58" s="139"/>
      <c r="AZ58" s="139"/>
      <c r="BA58" s="139"/>
      <c r="BB58" s="139"/>
      <c r="BC58" s="139"/>
      <c r="BD58" s="139"/>
      <c r="BE58" s="139"/>
      <c r="BF58" s="139"/>
      <c r="BG58" s="139"/>
      <c r="BH58" s="139"/>
      <c r="BI58" s="139"/>
      <c r="BJ58" s="139"/>
      <c r="BK58" s="139"/>
      <c r="BL58" s="139"/>
      <c r="BM58" s="139"/>
      <c r="BN58" s="139"/>
      <c r="BO58" s="139"/>
      <c r="BP58" s="139"/>
      <c r="BQ58" s="139"/>
      <c r="BR58" s="139"/>
      <c r="BS58" s="139"/>
      <c r="BT58" s="139"/>
      <c r="BU58" s="139"/>
      <c r="BV58" s="139"/>
      <c r="BW58" s="139"/>
      <c r="BX58" s="139"/>
      <c r="BY58" s="139"/>
      <c r="BZ58" s="139"/>
      <c r="CA58" s="139"/>
      <c r="CB58" s="139"/>
      <c r="CC58" s="139"/>
      <c r="CD58" s="139"/>
      <c r="CE58" s="139"/>
      <c r="CF58" s="139"/>
      <c r="CG58" s="139"/>
      <c r="CH58" s="139"/>
      <c r="CI58" s="139"/>
      <c r="CJ58" s="139"/>
      <c r="CK58" s="139"/>
      <c r="CL58" s="139"/>
      <c r="CM58" s="139"/>
      <c r="CN58" s="139"/>
      <c r="CO58" s="139"/>
      <c r="CP58" s="139"/>
      <c r="CQ58" s="139"/>
    </row>
    <row r="59" spans="2:95" ht="12.75">
      <c r="B59" s="151" t="s">
        <v>466</v>
      </c>
      <c r="C59" s="129"/>
      <c r="D59" s="129"/>
      <c r="E59" s="129"/>
      <c r="F59" s="129"/>
      <c r="G59" s="129"/>
      <c r="H59" s="129"/>
      <c r="I59" s="129"/>
      <c r="J59" s="146"/>
      <c r="K59" s="146"/>
      <c r="L59" s="146"/>
      <c r="M59" s="147"/>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39"/>
      <c r="AY59" s="139"/>
      <c r="AZ59" s="139"/>
      <c r="BA59" s="139"/>
      <c r="BB59" s="139"/>
      <c r="BC59" s="139"/>
      <c r="BD59" s="139"/>
      <c r="BE59" s="139"/>
      <c r="BF59" s="139"/>
      <c r="BG59" s="139"/>
      <c r="BH59" s="139"/>
      <c r="BI59" s="139"/>
      <c r="BJ59" s="139"/>
      <c r="BK59" s="139"/>
      <c r="BL59" s="139"/>
      <c r="BM59" s="139"/>
      <c r="BN59" s="139"/>
      <c r="BO59" s="139"/>
      <c r="BP59" s="139"/>
      <c r="BQ59" s="139"/>
      <c r="BR59" s="139"/>
      <c r="BS59" s="139"/>
      <c r="BT59" s="139"/>
      <c r="BU59" s="139"/>
      <c r="BV59" s="139"/>
      <c r="BW59" s="139"/>
      <c r="BX59" s="139"/>
      <c r="BY59" s="139"/>
      <c r="BZ59" s="139"/>
      <c r="CA59" s="139"/>
      <c r="CB59" s="139"/>
      <c r="CC59" s="139"/>
      <c r="CD59" s="139"/>
      <c r="CE59" s="139"/>
      <c r="CF59" s="139"/>
      <c r="CG59" s="139"/>
      <c r="CH59" s="139"/>
      <c r="CI59" s="139"/>
      <c r="CJ59" s="139"/>
      <c r="CK59" s="139"/>
      <c r="CL59" s="139"/>
      <c r="CM59" s="139"/>
      <c r="CN59" s="139"/>
      <c r="CO59" s="139"/>
      <c r="CP59" s="139"/>
      <c r="CQ59" s="139"/>
    </row>
    <row r="60" spans="1:95" s="132" customFormat="1" ht="12.75">
      <c r="A60" s="136"/>
      <c r="B60" s="152"/>
      <c r="C60" s="153"/>
      <c r="D60" s="153"/>
      <c r="E60" s="153"/>
      <c r="F60" s="153"/>
      <c r="G60" s="153"/>
      <c r="H60" s="153"/>
      <c r="I60" s="153"/>
      <c r="J60" s="146"/>
      <c r="K60" s="146"/>
      <c r="L60" s="146"/>
      <c r="M60" s="147"/>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36"/>
      <c r="AX60" s="136"/>
      <c r="AY60" s="136"/>
      <c r="AZ60" s="136"/>
      <c r="BA60" s="136"/>
      <c r="BB60" s="136"/>
      <c r="BC60" s="136"/>
      <c r="BD60" s="136"/>
      <c r="BE60" s="136"/>
      <c r="BF60" s="136"/>
      <c r="BG60" s="136"/>
      <c r="BH60" s="136"/>
      <c r="BI60" s="136"/>
      <c r="BJ60" s="136"/>
      <c r="BK60" s="136"/>
      <c r="BL60" s="136"/>
      <c r="BM60" s="136"/>
      <c r="BN60" s="136"/>
      <c r="BO60" s="136"/>
      <c r="BP60" s="136"/>
      <c r="BQ60" s="136"/>
      <c r="BR60" s="136"/>
      <c r="BS60" s="136"/>
      <c r="BT60" s="136"/>
      <c r="BU60" s="136"/>
      <c r="BV60" s="136"/>
      <c r="BW60" s="136"/>
      <c r="BX60" s="136"/>
      <c r="BY60" s="136"/>
      <c r="BZ60" s="136"/>
      <c r="CA60" s="136"/>
      <c r="CB60" s="136"/>
      <c r="CC60" s="136"/>
      <c r="CD60" s="136"/>
      <c r="CE60" s="136"/>
      <c r="CF60" s="136"/>
      <c r="CG60" s="136"/>
      <c r="CH60" s="136"/>
      <c r="CI60" s="136"/>
      <c r="CJ60" s="136"/>
      <c r="CK60" s="136"/>
      <c r="CL60" s="136"/>
      <c r="CM60" s="136"/>
      <c r="CN60" s="136"/>
      <c r="CO60" s="136"/>
      <c r="CP60" s="136"/>
      <c r="CQ60" s="136"/>
    </row>
    <row r="61" spans="2:95" ht="12.75">
      <c r="B61" s="148" t="str">
        <f>'Drop down Options'!BW213</f>
        <v>Front Weights Added</v>
      </c>
      <c r="C61" s="129"/>
      <c r="D61" s="172">
        <v>1</v>
      </c>
      <c r="E61" s="129"/>
      <c r="F61" s="129"/>
      <c r="G61" s="133">
        <f>IF(D29=2,VLOOKUP(K24,Platforms!A3:AR133,44,FALSE),VLOOKUP(K24,Platforms!A3:AR133,44,FALSE)/$D$24)</f>
        <v>0</v>
      </c>
      <c r="H61" s="133">
        <f>IF(D29=2,VLOOKUP(K24,Platforms!A3:AS133,45,FALSE),VLOOKUP(K24,Platforms!A3:AS133,45,FALSE)/$D$24)</f>
        <v>0</v>
      </c>
      <c r="I61" s="166">
        <f>IF(AND(D50&gt;1,D61&gt;1),"ERROR: Not Compatible with a Loader","")</f>
      </c>
      <c r="J61" s="146"/>
      <c r="K61" s="146"/>
      <c r="L61" s="146"/>
      <c r="M61" s="147"/>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c r="AW61" s="139"/>
      <c r="AX61" s="139"/>
      <c r="AY61" s="139"/>
      <c r="AZ61" s="139"/>
      <c r="BA61" s="139"/>
      <c r="BB61" s="139"/>
      <c r="BC61" s="139"/>
      <c r="BD61" s="139"/>
      <c r="BE61" s="139"/>
      <c r="BF61" s="139"/>
      <c r="BG61" s="139"/>
      <c r="BH61" s="139"/>
      <c r="BI61" s="139"/>
      <c r="BJ61" s="139"/>
      <c r="BK61" s="139"/>
      <c r="BL61" s="139"/>
      <c r="BM61" s="139"/>
      <c r="BN61" s="139"/>
      <c r="BO61" s="139"/>
      <c r="BP61" s="139"/>
      <c r="BQ61" s="139"/>
      <c r="BR61" s="139"/>
      <c r="BS61" s="139"/>
      <c r="BT61" s="139"/>
      <c r="BU61" s="139"/>
      <c r="BV61" s="139"/>
      <c r="BW61" s="139"/>
      <c r="BX61" s="139"/>
      <c r="BY61" s="139"/>
      <c r="BZ61" s="139"/>
      <c r="CA61" s="139"/>
      <c r="CB61" s="139"/>
      <c r="CC61" s="139"/>
      <c r="CD61" s="139"/>
      <c r="CE61" s="139"/>
      <c r="CF61" s="139"/>
      <c r="CG61" s="139"/>
      <c r="CH61" s="139"/>
      <c r="CI61" s="139"/>
      <c r="CJ61" s="139"/>
      <c r="CK61" s="139"/>
      <c r="CL61" s="139"/>
      <c r="CM61" s="139"/>
      <c r="CN61" s="139"/>
      <c r="CO61" s="139"/>
      <c r="CP61" s="139"/>
      <c r="CQ61" s="139"/>
    </row>
    <row r="62" spans="2:95" ht="15" customHeight="1">
      <c r="B62" s="159" t="s">
        <v>461</v>
      </c>
      <c r="C62" s="129"/>
      <c r="D62" s="177" t="str">
        <f>VLOOKUP(D61,'Drop down Options'!BW215:BY248,3,FALSE)</f>
        <v>No Front weights</v>
      </c>
      <c r="E62" s="195"/>
      <c r="F62" s="195"/>
      <c r="G62" s="196"/>
      <c r="H62" s="129"/>
      <c r="I62" s="129"/>
      <c r="J62" s="146"/>
      <c r="K62" s="146"/>
      <c r="L62" s="146"/>
      <c r="M62" s="147"/>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139"/>
      <c r="AY62" s="139"/>
      <c r="AZ62" s="139"/>
      <c r="BA62" s="139"/>
      <c r="BB62" s="139"/>
      <c r="BC62" s="139"/>
      <c r="BD62" s="139"/>
      <c r="BE62" s="139"/>
      <c r="BF62" s="139"/>
      <c r="BG62" s="139"/>
      <c r="BH62" s="139"/>
      <c r="BI62" s="139"/>
      <c r="BJ62" s="139"/>
      <c r="BK62" s="139"/>
      <c r="BL62" s="139"/>
      <c r="BM62" s="139"/>
      <c r="BN62" s="139"/>
      <c r="BO62" s="139"/>
      <c r="BP62" s="139"/>
      <c r="BQ62" s="139"/>
      <c r="BR62" s="139"/>
      <c r="BS62" s="139"/>
      <c r="BT62" s="139"/>
      <c r="BU62" s="139"/>
      <c r="BV62" s="139"/>
      <c r="BW62" s="139"/>
      <c r="BX62" s="139"/>
      <c r="BY62" s="139"/>
      <c r="BZ62" s="139"/>
      <c r="CA62" s="139"/>
      <c r="CB62" s="139"/>
      <c r="CC62" s="139"/>
      <c r="CD62" s="139"/>
      <c r="CE62" s="139"/>
      <c r="CF62" s="139"/>
      <c r="CG62" s="139"/>
      <c r="CH62" s="139"/>
      <c r="CI62" s="139"/>
      <c r="CJ62" s="139"/>
      <c r="CK62" s="139"/>
      <c r="CL62" s="139"/>
      <c r="CM62" s="139"/>
      <c r="CN62" s="139"/>
      <c r="CO62" s="139"/>
      <c r="CP62" s="139"/>
      <c r="CQ62" s="139"/>
    </row>
    <row r="63" spans="2:95" ht="12.75">
      <c r="B63" s="149"/>
      <c r="C63" s="129"/>
      <c r="D63" s="129"/>
      <c r="E63" s="129"/>
      <c r="F63" s="129"/>
      <c r="G63" s="129"/>
      <c r="H63" s="129"/>
      <c r="I63" s="129"/>
      <c r="J63" s="146"/>
      <c r="K63" s="146"/>
      <c r="L63" s="146"/>
      <c r="M63" s="147"/>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39"/>
      <c r="AY63" s="139"/>
      <c r="AZ63" s="139"/>
      <c r="BA63" s="139"/>
      <c r="BB63" s="139"/>
      <c r="BC63" s="139"/>
      <c r="BD63" s="139"/>
      <c r="BE63" s="139"/>
      <c r="BF63" s="139"/>
      <c r="BG63" s="139"/>
      <c r="BH63" s="139"/>
      <c r="BI63" s="139"/>
      <c r="BJ63" s="139"/>
      <c r="BK63" s="139"/>
      <c r="BL63" s="139"/>
      <c r="BM63" s="139"/>
      <c r="BN63" s="139"/>
      <c r="BO63" s="139"/>
      <c r="BP63" s="139"/>
      <c r="BQ63" s="139"/>
      <c r="BR63" s="139"/>
      <c r="BS63" s="139"/>
      <c r="BT63" s="139"/>
      <c r="BU63" s="139"/>
      <c r="BV63" s="139"/>
      <c r="BW63" s="139"/>
      <c r="BX63" s="139"/>
      <c r="BY63" s="139"/>
      <c r="BZ63" s="139"/>
      <c r="CA63" s="139"/>
      <c r="CB63" s="139"/>
      <c r="CC63" s="139"/>
      <c r="CD63" s="139"/>
      <c r="CE63" s="139"/>
      <c r="CF63" s="139"/>
      <c r="CG63" s="139"/>
      <c r="CH63" s="139"/>
      <c r="CI63" s="139"/>
      <c r="CJ63" s="139"/>
      <c r="CK63" s="139"/>
      <c r="CL63" s="139"/>
      <c r="CM63" s="139"/>
      <c r="CN63" s="139"/>
      <c r="CO63" s="139"/>
      <c r="CP63" s="139"/>
      <c r="CQ63" s="139"/>
    </row>
    <row r="64" spans="2:95" ht="12.75">
      <c r="B64" s="148" t="str">
        <f>'Drop down Options'!CF251</f>
        <v>Rear Wheel Weights Added</v>
      </c>
      <c r="C64" s="129"/>
      <c r="D64" s="172">
        <v>10</v>
      </c>
      <c r="E64" s="129"/>
      <c r="F64" s="129"/>
      <c r="G64" s="133">
        <f>IF(D29=2,VLOOKUP(K24,Platforms!A3:AU133,47,FALSE),VLOOKUP(K24,Platforms!A3:AU133,47,FALSE)/$D$24)</f>
        <v>0</v>
      </c>
      <c r="H64" s="133">
        <f>IF(D29=2,VLOOKUP(K24,Platforms!A3:AV133,48,FALSE),VLOOKUP(K24,Platforms!A3:AV133,48,FALSE)/$D$24)</f>
        <v>169.7559306549228</v>
      </c>
      <c r="I64" s="129"/>
      <c r="J64" s="146"/>
      <c r="K64" s="146"/>
      <c r="L64" s="146"/>
      <c r="M64" s="147"/>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139"/>
      <c r="BD64" s="139"/>
      <c r="BE64" s="139"/>
      <c r="BF64" s="139"/>
      <c r="BG64" s="139"/>
      <c r="BH64" s="139"/>
      <c r="BI64" s="139"/>
      <c r="BJ64" s="139"/>
      <c r="BK64" s="139"/>
      <c r="BL64" s="139"/>
      <c r="BM64" s="139"/>
      <c r="BN64" s="139"/>
      <c r="BO64" s="139"/>
      <c r="BP64" s="139"/>
      <c r="BQ64" s="139"/>
      <c r="BR64" s="139"/>
      <c r="BS64" s="139"/>
      <c r="BT64" s="139"/>
      <c r="BU64" s="139"/>
      <c r="BV64" s="139"/>
      <c r="BW64" s="139"/>
      <c r="BX64" s="139"/>
      <c r="BY64" s="139"/>
      <c r="BZ64" s="139"/>
      <c r="CA64" s="139"/>
      <c r="CB64" s="139"/>
      <c r="CC64" s="139"/>
      <c r="CD64" s="139"/>
      <c r="CE64" s="139"/>
      <c r="CF64" s="139"/>
      <c r="CG64" s="139"/>
      <c r="CH64" s="139"/>
      <c r="CI64" s="139"/>
      <c r="CJ64" s="139"/>
      <c r="CK64" s="139"/>
      <c r="CL64" s="139"/>
      <c r="CM64" s="139"/>
      <c r="CN64" s="139"/>
      <c r="CO64" s="139"/>
      <c r="CP64" s="139"/>
      <c r="CQ64" s="139"/>
    </row>
    <row r="65" spans="2:95" ht="15" customHeight="1">
      <c r="B65" s="159" t="s">
        <v>461</v>
      </c>
      <c r="C65" s="129"/>
      <c r="D65" s="177" t="str">
        <f>VLOOKUP(D64,'Drop down Options'!CF253:CH272,3,FALSE)</f>
        <v>One Set Rear Wheel Weights 170 lb (77 kg) </v>
      </c>
      <c r="E65" s="195"/>
      <c r="F65" s="195"/>
      <c r="G65" s="196"/>
      <c r="H65" s="129"/>
      <c r="I65" s="129"/>
      <c r="J65" s="146"/>
      <c r="K65" s="146"/>
      <c r="L65" s="146"/>
      <c r="M65" s="147"/>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39"/>
      <c r="BC65" s="139"/>
      <c r="BD65" s="139"/>
      <c r="BE65" s="139"/>
      <c r="BF65" s="139"/>
      <c r="BG65" s="139"/>
      <c r="BH65" s="139"/>
      <c r="BI65" s="139"/>
      <c r="BJ65" s="139"/>
      <c r="BK65" s="139"/>
      <c r="BL65" s="139"/>
      <c r="BM65" s="139"/>
      <c r="BN65" s="139"/>
      <c r="BO65" s="139"/>
      <c r="BP65" s="139"/>
      <c r="BQ65" s="139"/>
      <c r="BR65" s="139"/>
      <c r="BS65" s="139"/>
      <c r="BT65" s="139"/>
      <c r="BU65" s="139"/>
      <c r="BV65" s="139"/>
      <c r="BW65" s="139"/>
      <c r="BX65" s="139"/>
      <c r="BY65" s="139"/>
      <c r="BZ65" s="139"/>
      <c r="CA65" s="139"/>
      <c r="CB65" s="139"/>
      <c r="CC65" s="139"/>
      <c r="CD65" s="139"/>
      <c r="CE65" s="139"/>
      <c r="CF65" s="139"/>
      <c r="CG65" s="139"/>
      <c r="CH65" s="139"/>
      <c r="CI65" s="139"/>
      <c r="CJ65" s="139"/>
      <c r="CK65" s="139"/>
      <c r="CL65" s="139"/>
      <c r="CM65" s="139"/>
      <c r="CN65" s="139"/>
      <c r="CO65" s="139"/>
      <c r="CP65" s="139"/>
      <c r="CQ65" s="139"/>
    </row>
    <row r="66" spans="2:95" ht="12.75">
      <c r="B66" s="145"/>
      <c r="C66" s="129"/>
      <c r="D66" s="129"/>
      <c r="E66" s="129"/>
      <c r="F66" s="129"/>
      <c r="G66" s="129"/>
      <c r="H66" s="129"/>
      <c r="I66" s="129"/>
      <c r="J66" s="146"/>
      <c r="K66" s="146"/>
      <c r="L66" s="146"/>
      <c r="M66" s="147"/>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c r="BB66" s="139"/>
      <c r="BC66" s="139"/>
      <c r="BD66" s="139"/>
      <c r="BE66" s="139"/>
      <c r="BF66" s="139"/>
      <c r="BG66" s="139"/>
      <c r="BH66" s="139"/>
      <c r="BI66" s="139"/>
      <c r="BJ66" s="139"/>
      <c r="BK66" s="139"/>
      <c r="BL66" s="139"/>
      <c r="BM66" s="139"/>
      <c r="BN66" s="139"/>
      <c r="BO66" s="139"/>
      <c r="BP66" s="139"/>
      <c r="BQ66" s="139"/>
      <c r="BR66" s="139"/>
      <c r="BS66" s="139"/>
      <c r="BT66" s="139"/>
      <c r="BU66" s="139"/>
      <c r="BV66" s="139"/>
      <c r="BW66" s="139"/>
      <c r="BX66" s="139"/>
      <c r="BY66" s="139"/>
      <c r="BZ66" s="139"/>
      <c r="CA66" s="139"/>
      <c r="CB66" s="139"/>
      <c r="CC66" s="139"/>
      <c r="CD66" s="139"/>
      <c r="CE66" s="139"/>
      <c r="CF66" s="139"/>
      <c r="CG66" s="139"/>
      <c r="CH66" s="139"/>
      <c r="CI66" s="139"/>
      <c r="CJ66" s="139"/>
      <c r="CK66" s="139"/>
      <c r="CL66" s="139"/>
      <c r="CM66" s="139"/>
      <c r="CN66" s="139"/>
      <c r="CO66" s="139"/>
      <c r="CP66" s="139"/>
      <c r="CQ66" s="139"/>
    </row>
    <row r="67" spans="2:95" ht="12.75">
      <c r="B67" s="148" t="str">
        <f>'Drop down Options'!CT282</f>
        <v>Ballast Box</v>
      </c>
      <c r="C67" s="129"/>
      <c r="D67" s="173">
        <v>3</v>
      </c>
      <c r="E67" s="135"/>
      <c r="F67" s="129"/>
      <c r="G67" s="133">
        <f>IF(D29=2,VLOOKUP(K24,Platforms!A3:AW133,49,FALSE),VLOOKUP(K24,Platforms!A3:AW133,49,FALSE)/$D$24)</f>
        <v>-665.2201442061237</v>
      </c>
      <c r="H67" s="133">
        <f>IF(D29=2,VLOOKUP(K24,Platforms!A3:AX133,50,FALSE),VLOOKUP(K24,Platforms!A3:AX133,50,FALSE)/$D$24)</f>
        <v>701.6457909374104</v>
      </c>
      <c r="I67" s="129"/>
      <c r="J67" s="146"/>
      <c r="K67" s="146"/>
      <c r="L67" s="146"/>
      <c r="M67" s="147"/>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139"/>
      <c r="BC67" s="139"/>
      <c r="BD67" s="139"/>
      <c r="BE67" s="139"/>
      <c r="BF67" s="139"/>
      <c r="BG67" s="139"/>
      <c r="BH67" s="139"/>
      <c r="BI67" s="139"/>
      <c r="BJ67" s="139"/>
      <c r="BK67" s="139"/>
      <c r="BL67" s="139"/>
      <c r="BM67" s="139"/>
      <c r="BN67" s="139"/>
      <c r="BO67" s="139"/>
      <c r="BP67" s="139"/>
      <c r="BQ67" s="139"/>
      <c r="BR67" s="139"/>
      <c r="BS67" s="139"/>
      <c r="BT67" s="139"/>
      <c r="BU67" s="139"/>
      <c r="BV67" s="139"/>
      <c r="BW67" s="139"/>
      <c r="BX67" s="139"/>
      <c r="BY67" s="139"/>
      <c r="BZ67" s="139"/>
      <c r="CA67" s="139"/>
      <c r="CB67" s="139"/>
      <c r="CC67" s="139"/>
      <c r="CD67" s="139"/>
      <c r="CE67" s="139"/>
      <c r="CF67" s="139"/>
      <c r="CG67" s="139"/>
      <c r="CH67" s="139"/>
      <c r="CI67" s="139"/>
      <c r="CJ67" s="139"/>
      <c r="CK67" s="139"/>
      <c r="CL67" s="139"/>
      <c r="CM67" s="139"/>
      <c r="CN67" s="139"/>
      <c r="CO67" s="139"/>
      <c r="CP67" s="139"/>
      <c r="CQ67" s="139"/>
    </row>
    <row r="68" spans="2:95" ht="5.25" customHeight="1">
      <c r="B68" s="149"/>
      <c r="C68" s="129"/>
      <c r="D68" s="135"/>
      <c r="E68" s="135"/>
      <c r="F68" s="129"/>
      <c r="G68" s="134"/>
      <c r="H68" s="134"/>
      <c r="I68" s="129"/>
      <c r="J68" s="146"/>
      <c r="K68" s="146"/>
      <c r="L68" s="146"/>
      <c r="M68" s="147"/>
      <c r="N68" s="139"/>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39"/>
      <c r="AN68" s="139"/>
      <c r="AO68" s="139"/>
      <c r="AP68" s="139"/>
      <c r="AQ68" s="139"/>
      <c r="AR68" s="139"/>
      <c r="AS68" s="139"/>
      <c r="AT68" s="139"/>
      <c r="AU68" s="139"/>
      <c r="AV68" s="139"/>
      <c r="AW68" s="139"/>
      <c r="AX68" s="139"/>
      <c r="AY68" s="139"/>
      <c r="AZ68" s="139"/>
      <c r="BA68" s="139"/>
      <c r="BB68" s="139"/>
      <c r="BC68" s="139"/>
      <c r="BD68" s="139"/>
      <c r="BE68" s="139"/>
      <c r="BF68" s="139"/>
      <c r="BG68" s="139"/>
      <c r="BH68" s="139"/>
      <c r="BI68" s="139"/>
      <c r="BJ68" s="139"/>
      <c r="BK68" s="139"/>
      <c r="BL68" s="139"/>
      <c r="BM68" s="139"/>
      <c r="BN68" s="139"/>
      <c r="BO68" s="139"/>
      <c r="BP68" s="139"/>
      <c r="BQ68" s="139"/>
      <c r="BR68" s="139"/>
      <c r="BS68" s="139"/>
      <c r="BT68" s="139"/>
      <c r="BU68" s="139"/>
      <c r="BV68" s="139"/>
      <c r="BW68" s="139"/>
      <c r="BX68" s="139"/>
      <c r="BY68" s="139"/>
      <c r="BZ68" s="139"/>
      <c r="CA68" s="139"/>
      <c r="CB68" s="139"/>
      <c r="CC68" s="139"/>
      <c r="CD68" s="139"/>
      <c r="CE68" s="139"/>
      <c r="CF68" s="139"/>
      <c r="CG68" s="139"/>
      <c r="CH68" s="139"/>
      <c r="CI68" s="139"/>
      <c r="CJ68" s="139"/>
      <c r="CK68" s="139"/>
      <c r="CL68" s="139"/>
      <c r="CM68" s="139"/>
      <c r="CN68" s="139"/>
      <c r="CO68" s="139"/>
      <c r="CP68" s="139"/>
      <c r="CQ68" s="139"/>
    </row>
    <row r="69" spans="2:95" ht="12.75">
      <c r="B69" s="145"/>
      <c r="C69" s="129"/>
      <c r="D69" s="129"/>
      <c r="E69" s="129"/>
      <c r="F69" s="129"/>
      <c r="G69" s="162">
        <f>G46+SUM(G52:G67)</f>
        <v>6086.126180934103</v>
      </c>
      <c r="H69" s="162">
        <f>H46+SUM(H52:H67)</f>
        <v>11238.920841526611</v>
      </c>
      <c r="I69" s="127" t="str">
        <f>IF(D29=2,"Grand Total/ Kg","Grand Total/ Lbs")</f>
        <v>Grand Total/ Lbs</v>
      </c>
      <c r="J69" s="146"/>
      <c r="K69" s="146"/>
      <c r="L69" s="146"/>
      <c r="M69" s="147"/>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c r="AQ69" s="139"/>
      <c r="AR69" s="139"/>
      <c r="AS69" s="139"/>
      <c r="AT69" s="139"/>
      <c r="AU69" s="139"/>
      <c r="AV69" s="139"/>
      <c r="AW69" s="139"/>
      <c r="AX69" s="139"/>
      <c r="AY69" s="139"/>
      <c r="AZ69" s="139"/>
      <c r="BA69" s="139"/>
      <c r="BB69" s="139"/>
      <c r="BC69" s="139"/>
      <c r="BD69" s="139"/>
      <c r="BE69" s="139"/>
      <c r="BF69" s="139"/>
      <c r="BG69" s="139"/>
      <c r="BH69" s="139"/>
      <c r="BI69" s="139"/>
      <c r="BJ69" s="139"/>
      <c r="BK69" s="139"/>
      <c r="BL69" s="139"/>
      <c r="BM69" s="139"/>
      <c r="BN69" s="139"/>
      <c r="BO69" s="139"/>
      <c r="BP69" s="139"/>
      <c r="BQ69" s="139"/>
      <c r="BR69" s="139"/>
      <c r="BS69" s="139"/>
      <c r="BT69" s="139"/>
      <c r="BU69" s="139"/>
      <c r="BV69" s="139"/>
      <c r="BW69" s="139"/>
      <c r="BX69" s="139"/>
      <c r="BY69" s="139"/>
      <c r="BZ69" s="139"/>
      <c r="CA69" s="139"/>
      <c r="CB69" s="139"/>
      <c r="CC69" s="139"/>
      <c r="CD69" s="139"/>
      <c r="CE69" s="139"/>
      <c r="CF69" s="139"/>
      <c r="CG69" s="139"/>
      <c r="CH69" s="139"/>
      <c r="CI69" s="139"/>
      <c r="CJ69" s="139"/>
      <c r="CK69" s="139"/>
      <c r="CL69" s="139"/>
      <c r="CM69" s="139"/>
      <c r="CN69" s="139"/>
      <c r="CO69" s="139"/>
      <c r="CP69" s="139"/>
      <c r="CQ69" s="139"/>
    </row>
    <row r="70" spans="2:95" ht="12.75">
      <c r="B70" s="145"/>
      <c r="C70" s="129"/>
      <c r="D70" s="129"/>
      <c r="E70" s="129"/>
      <c r="F70" s="129"/>
      <c r="G70" s="191">
        <f>IF(I61&lt;&gt;"","ERROR","")</f>
      </c>
      <c r="H70" s="191"/>
      <c r="I70" s="191"/>
      <c r="J70" s="146"/>
      <c r="K70" s="146"/>
      <c r="L70" s="146"/>
      <c r="M70" s="147"/>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c r="AK70" s="139"/>
      <c r="AL70" s="139"/>
      <c r="AM70" s="139"/>
      <c r="AN70" s="139"/>
      <c r="AO70" s="139"/>
      <c r="AP70" s="139"/>
      <c r="AQ70" s="139"/>
      <c r="AR70" s="139"/>
      <c r="AS70" s="139"/>
      <c r="AT70" s="139"/>
      <c r="AU70" s="139"/>
      <c r="AV70" s="139"/>
      <c r="AW70" s="139"/>
      <c r="AX70" s="139"/>
      <c r="AY70" s="139"/>
      <c r="AZ70" s="139"/>
      <c r="BA70" s="139"/>
      <c r="BB70" s="139"/>
      <c r="BC70" s="139"/>
      <c r="BD70" s="139"/>
      <c r="BE70" s="139"/>
      <c r="BF70" s="139"/>
      <c r="BG70" s="139"/>
      <c r="BH70" s="139"/>
      <c r="BI70" s="139"/>
      <c r="BJ70" s="139"/>
      <c r="BK70" s="139"/>
      <c r="BL70" s="139"/>
      <c r="BM70" s="139"/>
      <c r="BN70" s="139"/>
      <c r="BO70" s="139"/>
      <c r="BP70" s="139"/>
      <c r="BQ70" s="139"/>
      <c r="BR70" s="139"/>
      <c r="BS70" s="139"/>
      <c r="BT70" s="139"/>
      <c r="BU70" s="139"/>
      <c r="BV70" s="139"/>
      <c r="BW70" s="139"/>
      <c r="BX70" s="139"/>
      <c r="BY70" s="139"/>
      <c r="BZ70" s="139"/>
      <c r="CA70" s="139"/>
      <c r="CB70" s="139"/>
      <c r="CC70" s="139"/>
      <c r="CD70" s="139"/>
      <c r="CE70" s="139"/>
      <c r="CF70" s="139"/>
      <c r="CG70" s="139"/>
      <c r="CH70" s="139"/>
      <c r="CI70" s="139"/>
      <c r="CJ70" s="139"/>
      <c r="CK70" s="139"/>
      <c r="CL70" s="139"/>
      <c r="CM70" s="139"/>
      <c r="CN70" s="139"/>
      <c r="CO70" s="139"/>
      <c r="CP70" s="139"/>
      <c r="CQ70" s="139"/>
    </row>
    <row r="71" spans="2:95" ht="13.5" thickBot="1">
      <c r="B71" s="154"/>
      <c r="C71" s="155"/>
      <c r="D71" s="155"/>
      <c r="E71" s="155"/>
      <c r="F71" s="155"/>
      <c r="G71" s="165">
        <f>G69/(G69+H69)*100</f>
        <v>35.12906010034989</v>
      </c>
      <c r="H71" s="165">
        <f>H69/(G69+H69)*100</f>
        <v>64.87093989965011</v>
      </c>
      <c r="I71" s="156" t="s">
        <v>465</v>
      </c>
      <c r="J71" s="157"/>
      <c r="K71" s="157"/>
      <c r="L71" s="157"/>
      <c r="M71" s="158"/>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139"/>
      <c r="BD71" s="139"/>
      <c r="BE71" s="139"/>
      <c r="BF71" s="139"/>
      <c r="BG71" s="139"/>
      <c r="BH71" s="139"/>
      <c r="BI71" s="139"/>
      <c r="BJ71" s="139"/>
      <c r="BK71" s="139"/>
      <c r="BL71" s="139"/>
      <c r="BM71" s="139"/>
      <c r="BN71" s="139"/>
      <c r="BO71" s="139"/>
      <c r="BP71" s="139"/>
      <c r="BQ71" s="139"/>
      <c r="BR71" s="139"/>
      <c r="BS71" s="139"/>
      <c r="BT71" s="139"/>
      <c r="BU71" s="139"/>
      <c r="BV71" s="139"/>
      <c r="BW71" s="139"/>
      <c r="BX71" s="139"/>
      <c r="BY71" s="139"/>
      <c r="BZ71" s="139"/>
      <c r="CA71" s="139"/>
      <c r="CB71" s="139"/>
      <c r="CC71" s="139"/>
      <c r="CD71" s="139"/>
      <c r="CE71" s="139"/>
      <c r="CF71" s="139"/>
      <c r="CG71" s="139"/>
      <c r="CH71" s="139"/>
      <c r="CI71" s="139"/>
      <c r="CJ71" s="139"/>
      <c r="CK71" s="139"/>
      <c r="CL71" s="139"/>
      <c r="CM71" s="139"/>
      <c r="CN71" s="139"/>
      <c r="CO71" s="139"/>
      <c r="CP71" s="139"/>
      <c r="CQ71" s="139"/>
    </row>
    <row r="72" s="139" customFormat="1" ht="13.5" customHeight="1"/>
    <row r="73" s="139" customFormat="1" ht="13.5" customHeight="1"/>
    <row r="74" s="139" customFormat="1" ht="13.5" customHeight="1"/>
    <row r="75" s="139" customFormat="1" ht="13.5" customHeight="1"/>
    <row r="76" s="139" customFormat="1" ht="13.5" customHeight="1"/>
    <row r="77" s="139" customFormat="1" ht="13.5" customHeight="1"/>
    <row r="78" s="139" customFormat="1" ht="13.5" customHeight="1"/>
    <row r="79" s="139" customFormat="1" ht="13.5" customHeight="1"/>
    <row r="80" s="139" customFormat="1" ht="13.5" customHeight="1"/>
    <row r="81" s="139" customFormat="1" ht="13.5" customHeight="1"/>
    <row r="82" s="139" customFormat="1" ht="13.5" customHeight="1"/>
    <row r="83" s="139" customFormat="1" ht="13.5" customHeight="1"/>
    <row r="84" s="139" customFormat="1" ht="13.5" customHeight="1"/>
    <row r="85" s="139" customFormat="1" ht="13.5" customHeight="1"/>
    <row r="86" s="139" customFormat="1" ht="13.5" customHeight="1"/>
    <row r="87" s="139" customFormat="1" ht="13.5" customHeight="1"/>
    <row r="88" s="139" customFormat="1" ht="13.5" customHeight="1"/>
    <row r="89" s="139" customFormat="1" ht="13.5" customHeight="1"/>
    <row r="90" s="139" customFormat="1" ht="13.5" customHeight="1"/>
    <row r="91" s="139" customFormat="1" ht="13.5" customHeight="1"/>
    <row r="92" s="139" customFormat="1" ht="13.5" customHeight="1"/>
    <row r="93" s="139" customFormat="1" ht="13.5" customHeight="1"/>
    <row r="94" s="139" customFormat="1" ht="13.5" customHeight="1"/>
    <row r="95" s="139" customFormat="1" ht="13.5" customHeight="1"/>
    <row r="96" s="139" customFormat="1" ht="13.5" customHeight="1"/>
    <row r="97" s="139" customFormat="1" ht="13.5" customHeight="1"/>
    <row r="98" s="139" customFormat="1" ht="13.5" customHeight="1"/>
    <row r="99" s="139" customFormat="1" ht="13.5" customHeight="1"/>
    <row r="100" s="139" customFormat="1" ht="13.5" customHeight="1"/>
    <row r="101" s="139" customFormat="1" ht="13.5" customHeight="1"/>
    <row r="102" s="139" customFormat="1" ht="13.5" customHeight="1"/>
    <row r="103" s="139" customFormat="1" ht="13.5" customHeight="1"/>
    <row r="104" s="139" customFormat="1" ht="13.5" customHeight="1"/>
    <row r="105" s="139" customFormat="1" ht="13.5" customHeight="1"/>
    <row r="106" s="139" customFormat="1" ht="13.5" customHeight="1"/>
    <row r="107" s="139" customFormat="1" ht="13.5" customHeight="1"/>
    <row r="108" s="139" customFormat="1" ht="13.5" customHeight="1"/>
    <row r="109" s="139" customFormat="1" ht="13.5" customHeight="1"/>
    <row r="110" s="139" customFormat="1" ht="13.5" customHeight="1"/>
    <row r="111" s="139" customFormat="1" ht="13.5" customHeight="1"/>
    <row r="112" s="139" customFormat="1" ht="13.5" customHeight="1"/>
    <row r="113" s="139" customFormat="1" ht="13.5" customHeight="1"/>
    <row r="114" s="139" customFormat="1" ht="13.5" customHeight="1"/>
    <row r="115" s="139" customFormat="1" ht="13.5" customHeight="1"/>
    <row r="116" s="139" customFormat="1" ht="13.5" customHeight="1"/>
    <row r="117" s="139" customFormat="1" ht="13.5" customHeight="1"/>
    <row r="118" s="139" customFormat="1" ht="13.5" customHeight="1"/>
    <row r="119" s="139" customFormat="1" ht="13.5" customHeight="1"/>
    <row r="120" s="139" customFormat="1" ht="13.5" customHeight="1"/>
    <row r="121" s="139" customFormat="1" ht="13.5" customHeight="1"/>
    <row r="122" s="139" customFormat="1" ht="13.5" customHeight="1"/>
    <row r="123" s="139" customFormat="1" ht="13.5" customHeight="1"/>
    <row r="124" s="139" customFormat="1" ht="13.5" customHeight="1"/>
    <row r="125" s="139" customFormat="1" ht="13.5" customHeight="1"/>
    <row r="126" s="139" customFormat="1" ht="13.5" customHeight="1"/>
    <row r="127" s="139" customFormat="1" ht="13.5" customHeight="1"/>
    <row r="128" s="139" customFormat="1" ht="13.5" customHeight="1"/>
    <row r="129" s="139" customFormat="1" ht="13.5" customHeight="1"/>
    <row r="130" s="139" customFormat="1" ht="13.5" customHeight="1"/>
    <row r="131" s="139" customFormat="1" ht="13.5" customHeight="1"/>
    <row r="132" s="139" customFormat="1" ht="13.5" customHeight="1"/>
    <row r="133" s="139" customFormat="1" ht="13.5" customHeight="1"/>
    <row r="134" s="139" customFormat="1" ht="13.5" customHeight="1"/>
    <row r="135" s="139" customFormat="1" ht="13.5" customHeight="1"/>
    <row r="136" s="139" customFormat="1" ht="13.5" customHeight="1"/>
    <row r="137" s="139" customFormat="1" ht="13.5" customHeight="1"/>
    <row r="138" s="139" customFormat="1" ht="13.5" customHeight="1"/>
    <row r="139" s="139" customFormat="1" ht="13.5" customHeight="1"/>
    <row r="140" s="139" customFormat="1" ht="13.5" customHeight="1"/>
    <row r="141" s="139" customFormat="1" ht="13.5" customHeight="1"/>
    <row r="142" s="139" customFormat="1" ht="13.5" customHeight="1"/>
    <row r="143" s="139" customFormat="1" ht="13.5" customHeight="1"/>
    <row r="144" s="139" customFormat="1" ht="13.5" customHeight="1"/>
    <row r="145" s="139" customFormat="1" ht="13.5" customHeight="1"/>
    <row r="146" s="139" customFormat="1" ht="13.5" customHeight="1"/>
    <row r="147" s="139" customFormat="1" ht="13.5" customHeight="1"/>
    <row r="148" s="139" customFormat="1" ht="13.5" customHeight="1"/>
    <row r="149" s="139" customFormat="1" ht="13.5" customHeight="1"/>
    <row r="150" s="139" customFormat="1" ht="13.5" customHeight="1"/>
    <row r="151" s="139" customFormat="1" ht="13.5" customHeight="1"/>
    <row r="152" s="139" customFormat="1" ht="13.5" customHeight="1"/>
    <row r="153" s="139" customFormat="1" ht="13.5" customHeight="1"/>
    <row r="154" s="139" customFormat="1" ht="13.5" customHeight="1"/>
    <row r="155" s="139" customFormat="1" ht="13.5" customHeight="1"/>
    <row r="156" s="139" customFormat="1" ht="13.5" customHeight="1"/>
    <row r="157" s="139" customFormat="1" ht="13.5" customHeight="1"/>
    <row r="158" s="139" customFormat="1" ht="13.5" customHeight="1"/>
    <row r="159" s="139" customFormat="1" ht="13.5" customHeight="1"/>
    <row r="160" s="139" customFormat="1" ht="13.5" customHeight="1"/>
    <row r="161" s="139" customFormat="1" ht="13.5" customHeight="1"/>
    <row r="162" s="139" customFormat="1" ht="13.5" customHeight="1"/>
    <row r="163" s="139" customFormat="1" ht="13.5" customHeight="1"/>
    <row r="164" s="139" customFormat="1" ht="13.5" customHeight="1"/>
    <row r="165" s="139" customFormat="1" ht="13.5" customHeight="1"/>
    <row r="166" s="139" customFormat="1" ht="13.5" customHeight="1"/>
    <row r="167" s="139" customFormat="1" ht="13.5" customHeight="1"/>
    <row r="168" s="139" customFormat="1" ht="13.5" customHeight="1"/>
    <row r="169" s="139" customFormat="1" ht="13.5" customHeight="1"/>
    <row r="170" s="139" customFormat="1" ht="13.5" customHeight="1"/>
    <row r="171" s="139" customFormat="1" ht="13.5" customHeight="1"/>
    <row r="172" s="139" customFormat="1" ht="13.5" customHeight="1"/>
    <row r="173" s="139" customFormat="1" ht="13.5" customHeight="1"/>
    <row r="174" s="139" customFormat="1" ht="13.5" customHeight="1"/>
    <row r="175" s="139" customFormat="1" ht="13.5" customHeight="1"/>
    <row r="176" s="139" customFormat="1" ht="13.5" customHeight="1"/>
    <row r="177" s="139" customFormat="1" ht="13.5" customHeight="1"/>
    <row r="178" s="139" customFormat="1" ht="13.5" customHeight="1"/>
    <row r="179" s="139" customFormat="1" ht="13.5" customHeight="1"/>
    <row r="180" s="139" customFormat="1" ht="13.5" customHeight="1"/>
    <row r="181" s="139" customFormat="1" ht="13.5" customHeight="1"/>
    <row r="182" s="139" customFormat="1" ht="13.5" customHeight="1"/>
    <row r="183" s="139" customFormat="1" ht="13.5" customHeight="1"/>
    <row r="184" s="139" customFormat="1" ht="13.5" customHeight="1"/>
    <row r="185" s="139" customFormat="1" ht="13.5" customHeight="1"/>
    <row r="186" s="139" customFormat="1" ht="13.5" customHeight="1"/>
    <row r="187" s="139" customFormat="1" ht="13.5" customHeight="1"/>
    <row r="188" s="139" customFormat="1" ht="13.5" customHeight="1"/>
    <row r="189" s="139" customFormat="1" ht="13.5" customHeight="1"/>
    <row r="190" s="139" customFormat="1" ht="13.5" customHeight="1"/>
    <row r="191" s="139" customFormat="1" ht="13.5" customHeight="1"/>
    <row r="192" s="139" customFormat="1" ht="13.5" customHeight="1"/>
    <row r="193" s="139" customFormat="1" ht="13.5" customHeight="1"/>
    <row r="194" s="139" customFormat="1" ht="13.5" customHeight="1"/>
    <row r="195" s="139" customFormat="1" ht="13.5" customHeight="1"/>
    <row r="196" s="139" customFormat="1" ht="13.5" customHeight="1"/>
    <row r="197" s="139" customFormat="1" ht="13.5" customHeight="1"/>
    <row r="198" s="139" customFormat="1" ht="13.5" customHeight="1"/>
    <row r="199" s="139" customFormat="1" ht="13.5" customHeight="1"/>
    <row r="200" s="139" customFormat="1" ht="13.5" customHeight="1"/>
    <row r="201" s="139" customFormat="1" ht="13.5" customHeight="1"/>
    <row r="202" s="139" customFormat="1" ht="13.5" customHeight="1"/>
    <row r="203" s="139" customFormat="1" ht="13.5" customHeight="1"/>
    <row r="204" s="139" customFormat="1" ht="13.5" customHeight="1"/>
    <row r="205" s="139" customFormat="1" ht="13.5" customHeight="1"/>
    <row r="206" s="139" customFormat="1" ht="13.5" customHeight="1"/>
    <row r="207" s="139" customFormat="1" ht="13.5" customHeight="1"/>
    <row r="208" s="139" customFormat="1" ht="13.5" customHeight="1"/>
    <row r="209" s="139" customFormat="1" ht="13.5" customHeight="1"/>
    <row r="210" s="139" customFormat="1" ht="13.5" customHeight="1"/>
    <row r="211" s="139" customFormat="1" ht="13.5" customHeight="1"/>
    <row r="212" s="139" customFormat="1" ht="13.5" customHeight="1"/>
    <row r="213" s="139" customFormat="1" ht="13.5" customHeight="1"/>
    <row r="214" s="139" customFormat="1" ht="13.5" customHeight="1"/>
    <row r="215" s="139" customFormat="1" ht="13.5" customHeight="1"/>
    <row r="216" s="139" customFormat="1" ht="13.5" customHeight="1"/>
    <row r="217" s="139" customFormat="1" ht="13.5" customHeight="1"/>
    <row r="218" s="139" customFormat="1" ht="13.5" customHeight="1"/>
    <row r="219" s="139" customFormat="1" ht="13.5" customHeight="1"/>
    <row r="220" s="139" customFormat="1" ht="13.5" customHeight="1"/>
    <row r="221" s="139" customFormat="1" ht="13.5" customHeight="1"/>
    <row r="222" s="139" customFormat="1" ht="13.5" customHeight="1"/>
    <row r="223" s="139" customFormat="1" ht="13.5" customHeight="1"/>
    <row r="224" s="139" customFormat="1" ht="13.5" customHeight="1"/>
    <row r="225" s="139" customFormat="1" ht="13.5" customHeight="1"/>
    <row r="226" s="139" customFormat="1" ht="13.5" customHeight="1"/>
    <row r="227" s="139" customFormat="1" ht="13.5" customHeight="1"/>
    <row r="228" s="139" customFormat="1" ht="13.5" customHeight="1"/>
    <row r="229" s="139" customFormat="1" ht="13.5" customHeight="1"/>
    <row r="230" s="139" customFormat="1" ht="13.5" customHeight="1"/>
    <row r="231" s="139" customFormat="1" ht="13.5" customHeight="1"/>
    <row r="232" s="139" customFormat="1" ht="13.5" customHeight="1"/>
    <row r="233" s="139" customFormat="1" ht="13.5" customHeight="1"/>
    <row r="234" s="139" customFormat="1" ht="13.5" customHeight="1"/>
    <row r="235" s="139" customFormat="1" ht="13.5" customHeight="1"/>
    <row r="236" s="139" customFormat="1" ht="13.5" customHeight="1"/>
    <row r="237" s="139" customFormat="1" ht="13.5" customHeight="1"/>
    <row r="238" s="139" customFormat="1" ht="13.5" customHeight="1"/>
    <row r="239" s="139" customFormat="1" ht="13.5" customHeight="1"/>
    <row r="240" s="139" customFormat="1" ht="13.5" customHeight="1"/>
    <row r="241" s="139" customFormat="1" ht="13.5" customHeight="1"/>
    <row r="242" s="139" customFormat="1" ht="13.5" customHeight="1"/>
    <row r="243" s="139" customFormat="1" ht="13.5" customHeight="1"/>
    <row r="244" s="139" customFormat="1" ht="13.5" customHeight="1"/>
    <row r="245" s="139" customFormat="1" ht="13.5" customHeight="1"/>
    <row r="246" s="139" customFormat="1" ht="13.5" customHeight="1"/>
    <row r="247" s="139" customFormat="1" ht="13.5" customHeight="1"/>
    <row r="248" s="139" customFormat="1" ht="13.5" customHeight="1"/>
    <row r="249" s="139" customFormat="1" ht="13.5" customHeight="1"/>
    <row r="250" s="139" customFormat="1" ht="13.5" customHeight="1"/>
    <row r="251" s="139" customFormat="1" ht="13.5" customHeight="1"/>
    <row r="252" s="139" customFormat="1" ht="13.5" customHeight="1"/>
    <row r="253" s="139" customFormat="1" ht="13.5" customHeight="1"/>
    <row r="254" s="139" customFormat="1" ht="13.5" customHeight="1"/>
    <row r="255" s="139" customFormat="1" ht="13.5" customHeight="1"/>
    <row r="256" s="139" customFormat="1" ht="13.5" customHeight="1"/>
    <row r="257" s="139" customFormat="1" ht="13.5" customHeight="1"/>
    <row r="258" s="139" customFormat="1" ht="13.5" customHeight="1"/>
    <row r="259" s="139" customFormat="1" ht="13.5" customHeight="1"/>
    <row r="260" s="139" customFormat="1" ht="13.5" customHeight="1"/>
    <row r="261" s="139" customFormat="1" ht="13.5" customHeight="1"/>
    <row r="262" s="139" customFormat="1" ht="13.5" customHeight="1"/>
    <row r="263" s="139" customFormat="1" ht="13.5" customHeight="1"/>
    <row r="264" s="139" customFormat="1" ht="13.5" customHeight="1"/>
    <row r="265" s="139" customFormat="1" ht="13.5" customHeight="1"/>
    <row r="266" s="139" customFormat="1" ht="13.5" customHeight="1"/>
    <row r="267" s="139" customFormat="1" ht="13.5" customHeight="1"/>
    <row r="268" s="139" customFormat="1" ht="13.5" customHeight="1"/>
    <row r="269" s="139" customFormat="1" ht="13.5" customHeight="1"/>
    <row r="270" s="139" customFormat="1" ht="13.5" customHeight="1"/>
    <row r="271" s="139" customFormat="1" ht="13.5" customHeight="1"/>
    <row r="272" s="139" customFormat="1" ht="13.5" customHeight="1"/>
    <row r="273" s="139" customFormat="1" ht="13.5" customHeight="1"/>
    <row r="274" s="139" customFormat="1" ht="13.5" customHeight="1"/>
    <row r="275" s="139" customFormat="1" ht="13.5" customHeight="1"/>
    <row r="276" s="139" customFormat="1" ht="13.5" customHeight="1"/>
    <row r="277" s="139" customFormat="1" ht="13.5" customHeight="1"/>
    <row r="278" s="139" customFormat="1" ht="13.5" customHeight="1"/>
    <row r="279" s="139" customFormat="1" ht="13.5" customHeight="1"/>
    <row r="280" s="139" customFormat="1" ht="13.5" customHeight="1"/>
    <row r="281" s="139" customFormat="1" ht="13.5" customHeight="1"/>
    <row r="282" s="139" customFormat="1" ht="13.5" customHeight="1"/>
    <row r="283" s="139" customFormat="1" ht="13.5" customHeight="1"/>
    <row r="284" s="139" customFormat="1" ht="13.5" customHeight="1"/>
    <row r="285" s="139" customFormat="1" ht="13.5" customHeight="1"/>
    <row r="286" s="139" customFormat="1" ht="13.5" customHeight="1"/>
    <row r="287" s="139" customFormat="1" ht="13.5" customHeight="1"/>
    <row r="288" s="139" customFormat="1" ht="13.5" customHeight="1"/>
    <row r="289" s="139" customFormat="1" ht="13.5" customHeight="1"/>
    <row r="290" s="139" customFormat="1" ht="13.5" customHeight="1"/>
    <row r="291" s="139" customFormat="1" ht="13.5" customHeight="1"/>
    <row r="292" s="139" customFormat="1" ht="13.5" customHeight="1"/>
    <row r="293" s="139" customFormat="1" ht="13.5" customHeight="1"/>
    <row r="294" s="139" customFormat="1" ht="13.5" customHeight="1"/>
    <row r="295" s="139" customFormat="1" ht="13.5" customHeight="1"/>
    <row r="296" s="139" customFormat="1" ht="13.5" customHeight="1"/>
    <row r="297" s="139" customFormat="1" ht="13.5" customHeight="1"/>
    <row r="298" s="139" customFormat="1" ht="13.5" customHeight="1"/>
    <row r="299" s="139" customFormat="1" ht="13.5" customHeight="1"/>
    <row r="300" s="139" customFormat="1" ht="13.5" customHeight="1"/>
    <row r="301" s="139" customFormat="1" ht="13.5" customHeight="1"/>
    <row r="302" s="139" customFormat="1" ht="13.5" customHeight="1"/>
    <row r="303" s="139" customFormat="1" ht="13.5" customHeight="1"/>
    <row r="304" s="139" customFormat="1" ht="13.5" customHeight="1"/>
    <row r="305" s="139" customFormat="1" ht="13.5" customHeight="1"/>
    <row r="306" s="139" customFormat="1" ht="13.5" customHeight="1"/>
    <row r="307" s="139" customFormat="1" ht="13.5" customHeight="1"/>
    <row r="308" s="139" customFormat="1" ht="13.5" customHeight="1"/>
    <row r="309" s="139" customFormat="1" ht="13.5" customHeight="1"/>
    <row r="310" s="139" customFormat="1" ht="13.5" customHeight="1"/>
    <row r="311" s="139" customFormat="1" ht="13.5" customHeight="1"/>
    <row r="312" s="139" customFormat="1" ht="13.5" customHeight="1"/>
    <row r="313" s="139" customFormat="1" ht="13.5" customHeight="1"/>
    <row r="314" s="139" customFormat="1" ht="13.5" customHeight="1"/>
    <row r="315" s="139" customFormat="1" ht="13.5" customHeight="1"/>
    <row r="316" s="139" customFormat="1" ht="13.5" customHeight="1"/>
    <row r="317" s="139" customFormat="1" ht="13.5" customHeight="1"/>
    <row r="318" s="139" customFormat="1" ht="13.5" customHeight="1"/>
    <row r="319" s="139" customFormat="1" ht="13.5" customHeight="1"/>
    <row r="320" s="139" customFormat="1" ht="13.5" customHeight="1"/>
    <row r="321" s="139" customFormat="1" ht="13.5" customHeight="1"/>
    <row r="322" s="139" customFormat="1" ht="13.5" customHeight="1"/>
    <row r="323" s="139" customFormat="1" ht="13.5" customHeight="1"/>
    <row r="324" s="139" customFormat="1" ht="13.5" customHeight="1"/>
    <row r="325" s="139" customFormat="1" ht="13.5" customHeight="1"/>
    <row r="326" s="139" customFormat="1" ht="13.5" customHeight="1"/>
    <row r="327" s="139" customFormat="1" ht="13.5" customHeight="1"/>
    <row r="328" s="139" customFormat="1" ht="13.5" customHeight="1"/>
    <row r="329" s="139" customFormat="1" ht="13.5" customHeight="1"/>
    <row r="330" s="139" customFormat="1" ht="13.5" customHeight="1"/>
    <row r="331" s="139" customFormat="1" ht="13.5" customHeight="1"/>
    <row r="332" s="139" customFormat="1" ht="13.5" customHeight="1"/>
    <row r="333" s="139" customFormat="1" ht="13.5" customHeight="1"/>
    <row r="334" s="139" customFormat="1" ht="13.5" customHeight="1"/>
    <row r="335" s="139" customFormat="1" ht="13.5" customHeight="1"/>
    <row r="336" s="139" customFormat="1" ht="13.5" customHeight="1"/>
    <row r="337" s="139" customFormat="1" ht="13.5" customHeight="1"/>
    <row r="338" s="139" customFormat="1" ht="13.5" customHeight="1"/>
    <row r="339" s="139" customFormat="1" ht="13.5" customHeight="1"/>
    <row r="340" s="139" customFormat="1" ht="13.5" customHeight="1"/>
    <row r="341" s="139" customFormat="1" ht="13.5" customHeight="1"/>
    <row r="342" s="139" customFormat="1" ht="13.5" customHeight="1"/>
    <row r="343" s="139" customFormat="1" ht="13.5" customHeight="1"/>
    <row r="344" s="139" customFormat="1" ht="13.5" customHeight="1"/>
    <row r="345" s="139" customFormat="1" ht="13.5" customHeight="1"/>
    <row r="346" s="139" customFormat="1" ht="13.5" customHeight="1"/>
    <row r="347" s="139" customFormat="1" ht="13.5" customHeight="1"/>
    <row r="348" s="139" customFormat="1" ht="13.5" customHeight="1"/>
    <row r="349" s="139" customFormat="1" ht="13.5" customHeight="1"/>
    <row r="350" s="139" customFormat="1" ht="13.5" customHeight="1"/>
    <row r="351" s="139" customFormat="1" ht="13.5" customHeight="1"/>
    <row r="352" s="139" customFormat="1" ht="13.5" customHeight="1"/>
    <row r="353" s="139" customFormat="1" ht="13.5" customHeight="1"/>
    <row r="354" s="139" customFormat="1" ht="13.5" customHeight="1"/>
    <row r="355" s="139" customFormat="1" ht="13.5" customHeight="1"/>
    <row r="356" s="139" customFormat="1" ht="13.5" customHeight="1"/>
    <row r="357" s="139" customFormat="1" ht="13.5" customHeight="1"/>
    <row r="358" s="139" customFormat="1" ht="13.5" customHeight="1"/>
    <row r="359" s="139" customFormat="1" ht="13.5" customHeight="1"/>
    <row r="360" s="139" customFormat="1" ht="13.5" customHeight="1"/>
    <row r="361" s="139" customFormat="1" ht="13.5" customHeight="1"/>
    <row r="362" s="139" customFormat="1" ht="13.5" customHeight="1"/>
    <row r="363" s="139" customFormat="1" ht="13.5" customHeight="1"/>
    <row r="364" s="139" customFormat="1" ht="13.5" customHeight="1"/>
    <row r="365" s="139" customFormat="1" ht="13.5" customHeight="1"/>
    <row r="366" s="139" customFormat="1" ht="13.5" customHeight="1"/>
    <row r="367" s="139" customFormat="1" ht="13.5" customHeight="1"/>
    <row r="368" s="139" customFormat="1" ht="13.5" customHeight="1"/>
    <row r="369" s="139" customFormat="1" ht="13.5" customHeight="1"/>
    <row r="370" s="139" customFormat="1" ht="13.5" customHeight="1"/>
    <row r="371" s="139" customFormat="1" ht="13.5" customHeight="1"/>
    <row r="372" s="139" customFormat="1" ht="13.5" customHeight="1"/>
    <row r="373" s="139" customFormat="1" ht="13.5" customHeight="1"/>
    <row r="374" s="139" customFormat="1" ht="13.5" customHeight="1"/>
    <row r="375" s="139" customFormat="1" ht="13.5" customHeight="1"/>
    <row r="376" s="139" customFormat="1" ht="13.5" customHeight="1"/>
    <row r="377" s="139" customFormat="1" ht="13.5" customHeight="1"/>
    <row r="378" s="139" customFormat="1" ht="13.5" customHeight="1"/>
    <row r="379" s="139" customFormat="1" ht="13.5" customHeight="1"/>
    <row r="380" s="139" customFormat="1" ht="13.5" customHeight="1"/>
    <row r="381" s="139" customFormat="1" ht="13.5" customHeight="1"/>
    <row r="382" s="139" customFormat="1" ht="13.5" customHeight="1"/>
    <row r="383" s="139" customFormat="1" ht="13.5" customHeight="1"/>
    <row r="384" s="139" customFormat="1" ht="13.5" customHeight="1"/>
    <row r="385" s="139" customFormat="1" ht="13.5" customHeight="1"/>
    <row r="386" s="139" customFormat="1" ht="13.5" customHeight="1"/>
    <row r="387" s="139" customFormat="1" ht="13.5" customHeight="1"/>
    <row r="388" s="139" customFormat="1" ht="13.5" customHeight="1"/>
    <row r="389" s="139" customFormat="1" ht="13.5" customHeight="1"/>
    <row r="390" s="139" customFormat="1" ht="13.5" customHeight="1"/>
    <row r="391" s="139" customFormat="1" ht="13.5" customHeight="1"/>
    <row r="392" s="139" customFormat="1" ht="13.5" customHeight="1"/>
    <row r="393" s="139" customFormat="1" ht="13.5" customHeight="1"/>
    <row r="394" s="139" customFormat="1" ht="13.5" customHeight="1"/>
    <row r="395" s="139" customFormat="1" ht="13.5" customHeight="1"/>
    <row r="396" s="139" customFormat="1" ht="13.5" customHeight="1"/>
    <row r="397" s="139" customFormat="1" ht="13.5" customHeight="1"/>
    <row r="398" s="139" customFormat="1" ht="13.5" customHeight="1"/>
    <row r="399" s="139" customFormat="1" ht="13.5" customHeight="1"/>
    <row r="400" s="139" customFormat="1" ht="13.5" customHeight="1"/>
    <row r="401" s="139" customFormat="1" ht="13.5" customHeight="1"/>
    <row r="402" s="139" customFormat="1" ht="13.5" customHeight="1"/>
    <row r="403" s="139" customFormat="1" ht="13.5" customHeight="1"/>
    <row r="404" s="139" customFormat="1" ht="13.5" customHeight="1"/>
    <row r="405" s="139" customFormat="1" ht="13.5" customHeight="1"/>
    <row r="406" s="139" customFormat="1" ht="13.5" customHeight="1"/>
    <row r="407" s="139" customFormat="1" ht="13.5" customHeight="1"/>
    <row r="408" s="139" customFormat="1" ht="13.5" customHeight="1"/>
    <row r="409" s="139" customFormat="1" ht="13.5" customHeight="1"/>
    <row r="410" s="139" customFormat="1" ht="13.5" customHeight="1"/>
    <row r="411" s="139" customFormat="1" ht="13.5" customHeight="1"/>
    <row r="412" s="139" customFormat="1" ht="13.5" customHeight="1"/>
    <row r="413" s="139" customFormat="1" ht="13.5" customHeight="1"/>
    <row r="414" s="139" customFormat="1" ht="13.5" customHeight="1"/>
    <row r="415" s="139" customFormat="1" ht="13.5" customHeight="1"/>
    <row r="416" s="139" customFormat="1" ht="13.5" customHeight="1"/>
    <row r="417" s="139" customFormat="1" ht="13.5" customHeight="1"/>
    <row r="418" s="139" customFormat="1" ht="13.5" customHeight="1"/>
    <row r="419" s="139" customFormat="1" ht="13.5" customHeight="1"/>
    <row r="420" s="139" customFormat="1" ht="13.5" customHeight="1"/>
    <row r="421" s="139" customFormat="1" ht="13.5" customHeight="1"/>
    <row r="422" s="139" customFormat="1" ht="13.5" customHeight="1"/>
    <row r="423" s="139" customFormat="1" ht="13.5" customHeight="1"/>
    <row r="424" s="139" customFormat="1" ht="13.5" customHeight="1"/>
    <row r="425" s="139" customFormat="1" ht="13.5" customHeight="1"/>
    <row r="426" s="139" customFormat="1" ht="13.5" customHeight="1"/>
    <row r="427" s="139" customFormat="1" ht="13.5" customHeight="1"/>
    <row r="428" s="139" customFormat="1" ht="13.5" customHeight="1"/>
    <row r="429" s="139" customFormat="1" ht="13.5" customHeight="1"/>
    <row r="430" s="139" customFormat="1" ht="13.5" customHeight="1"/>
    <row r="431" s="139" customFormat="1" ht="13.5" customHeight="1"/>
    <row r="432" s="139" customFormat="1" ht="13.5" customHeight="1"/>
    <row r="433" s="139" customFormat="1" ht="13.5" customHeight="1"/>
    <row r="434" s="139" customFormat="1" ht="13.5" customHeight="1"/>
    <row r="435" s="139" customFormat="1" ht="13.5" customHeight="1"/>
    <row r="436" s="139" customFormat="1" ht="13.5" customHeight="1"/>
    <row r="437" s="139" customFormat="1" ht="13.5" customHeight="1"/>
    <row r="438" s="139" customFormat="1" ht="13.5" customHeight="1"/>
    <row r="439" s="139" customFormat="1" ht="13.5" customHeight="1"/>
    <row r="440" s="139" customFormat="1" ht="13.5" customHeight="1"/>
    <row r="441" s="139" customFormat="1" ht="13.5" customHeight="1"/>
    <row r="442" s="139" customFormat="1" ht="13.5" customHeight="1"/>
    <row r="443" s="139" customFormat="1" ht="13.5" customHeight="1"/>
    <row r="444" s="139" customFormat="1" ht="13.5" customHeight="1"/>
    <row r="445" s="139" customFormat="1" ht="13.5" customHeight="1"/>
    <row r="446" s="139" customFormat="1" ht="13.5" customHeight="1"/>
    <row r="447" s="139" customFormat="1" ht="13.5" customHeight="1"/>
    <row r="448" s="139" customFormat="1" ht="13.5" customHeight="1"/>
    <row r="449" s="139" customFormat="1" ht="13.5" customHeight="1"/>
    <row r="450" s="139" customFormat="1" ht="13.5" customHeight="1"/>
    <row r="451" s="139" customFormat="1" ht="13.5" customHeight="1"/>
    <row r="452" s="139" customFormat="1" ht="13.5" customHeight="1"/>
    <row r="453" s="139" customFormat="1" ht="13.5" customHeight="1"/>
    <row r="454" s="139" customFormat="1" ht="13.5" customHeight="1"/>
    <row r="455" s="139" customFormat="1" ht="13.5" customHeight="1"/>
    <row r="456" s="139" customFormat="1" ht="13.5" customHeight="1"/>
    <row r="457" s="139" customFormat="1" ht="13.5" customHeight="1"/>
    <row r="458" s="139" customFormat="1" ht="13.5" customHeight="1"/>
    <row r="459" s="139" customFormat="1" ht="13.5" customHeight="1"/>
    <row r="460" s="139" customFormat="1" ht="13.5" customHeight="1"/>
    <row r="461" s="139" customFormat="1" ht="13.5" customHeight="1"/>
    <row r="462" s="139" customFormat="1" ht="13.5" customHeight="1"/>
    <row r="463" s="139" customFormat="1" ht="13.5" customHeight="1"/>
    <row r="464" s="139" customFormat="1" ht="13.5" customHeight="1"/>
    <row r="465" s="139" customFormat="1" ht="13.5" customHeight="1"/>
    <row r="466" s="139" customFormat="1" ht="13.5" customHeight="1"/>
    <row r="467" s="139" customFormat="1" ht="13.5" customHeight="1"/>
    <row r="468" s="139" customFormat="1" ht="13.5" customHeight="1"/>
    <row r="469" s="139" customFormat="1" ht="13.5" customHeight="1"/>
    <row r="470" s="139" customFormat="1" ht="13.5" customHeight="1"/>
    <row r="471" s="139" customFormat="1" ht="13.5" customHeight="1"/>
    <row r="472" s="139" customFormat="1" ht="13.5" customHeight="1"/>
    <row r="473" s="139" customFormat="1" ht="13.5" customHeight="1"/>
    <row r="474" s="139" customFormat="1" ht="13.5" customHeight="1"/>
    <row r="475" s="139" customFormat="1" ht="13.5" customHeight="1"/>
    <row r="476" s="139" customFormat="1" ht="13.5" customHeight="1"/>
    <row r="477" s="139" customFormat="1" ht="13.5" customHeight="1"/>
    <row r="478" s="139" customFormat="1" ht="13.5" customHeight="1"/>
    <row r="479" s="139" customFormat="1" ht="13.5" customHeight="1"/>
    <row r="480" s="139" customFormat="1" ht="13.5" customHeight="1"/>
    <row r="481" s="139" customFormat="1" ht="13.5" customHeight="1"/>
    <row r="482" s="139" customFormat="1" ht="13.5" customHeight="1"/>
    <row r="483" s="139" customFormat="1" ht="13.5" customHeight="1"/>
    <row r="484" s="139" customFormat="1" ht="13.5" customHeight="1"/>
    <row r="485" s="139" customFormat="1" ht="13.5" customHeight="1"/>
    <row r="486" s="139" customFormat="1" ht="13.5" customHeight="1"/>
    <row r="487" s="139" customFormat="1" ht="13.5" customHeight="1"/>
    <row r="488" s="139" customFormat="1" ht="13.5" customHeight="1"/>
    <row r="489" s="139" customFormat="1" ht="13.5" customHeight="1"/>
    <row r="490" s="139" customFormat="1" ht="13.5" customHeight="1"/>
    <row r="491" s="139" customFormat="1" ht="13.5" customHeight="1"/>
    <row r="492" s="139" customFormat="1" ht="13.5" customHeight="1"/>
    <row r="493" s="139" customFormat="1" ht="13.5" customHeight="1"/>
    <row r="494" s="139" customFormat="1" ht="13.5" customHeight="1"/>
    <row r="495" s="139" customFormat="1" ht="13.5" customHeight="1"/>
    <row r="496" s="139" customFormat="1" ht="13.5" customHeight="1"/>
    <row r="497" s="139" customFormat="1" ht="13.5" customHeight="1"/>
    <row r="498" s="139" customFormat="1" ht="13.5" customHeight="1"/>
    <row r="499" s="139" customFormat="1" ht="13.5" customHeight="1"/>
    <row r="500" s="139" customFormat="1" ht="13.5" customHeight="1"/>
    <row r="501" s="139" customFormat="1" ht="13.5" customHeight="1"/>
    <row r="502" s="139" customFormat="1" ht="13.5" customHeight="1"/>
    <row r="503" s="139" customFormat="1" ht="13.5" customHeight="1"/>
    <row r="504" s="139" customFormat="1" ht="13.5" customHeight="1"/>
    <row r="505" s="139" customFormat="1" ht="13.5" customHeight="1"/>
    <row r="506" s="139" customFormat="1" ht="13.5" customHeight="1"/>
    <row r="507" s="139" customFormat="1" ht="13.5" customHeight="1"/>
    <row r="508" s="139" customFormat="1" ht="13.5" customHeight="1"/>
    <row r="509" s="139" customFormat="1" ht="13.5" customHeight="1"/>
    <row r="510" s="139" customFormat="1" ht="13.5" customHeight="1"/>
    <row r="511" s="139" customFormat="1" ht="13.5" customHeight="1"/>
    <row r="512" s="139" customFormat="1" ht="13.5" customHeight="1"/>
    <row r="513" s="139" customFormat="1" ht="13.5" customHeight="1"/>
    <row r="514" s="139" customFormat="1" ht="13.5" customHeight="1"/>
    <row r="515" s="139" customFormat="1" ht="13.5" customHeight="1"/>
    <row r="516" s="139" customFormat="1" ht="13.5" customHeight="1"/>
    <row r="517" s="139" customFormat="1" ht="13.5" customHeight="1"/>
    <row r="518" s="139" customFormat="1" ht="13.5" customHeight="1"/>
    <row r="519" s="139" customFormat="1" ht="13.5" customHeight="1"/>
    <row r="520" s="139" customFormat="1" ht="13.5" customHeight="1"/>
    <row r="521" s="139" customFormat="1" ht="13.5" customHeight="1"/>
    <row r="522" s="139" customFormat="1" ht="13.5" customHeight="1"/>
    <row r="523" s="139" customFormat="1" ht="13.5" customHeight="1"/>
    <row r="524" s="139" customFormat="1" ht="13.5" customHeight="1"/>
    <row r="525" s="139" customFormat="1" ht="13.5" customHeight="1"/>
    <row r="526" s="139" customFormat="1" ht="13.5" customHeight="1"/>
    <row r="527" s="139" customFormat="1" ht="13.5" customHeight="1"/>
    <row r="528" s="139" customFormat="1" ht="13.5" customHeight="1"/>
    <row r="529" s="139" customFormat="1" ht="13.5" customHeight="1"/>
    <row r="530" s="139" customFormat="1" ht="13.5" customHeight="1"/>
    <row r="531" s="139" customFormat="1" ht="13.5" customHeight="1"/>
    <row r="532" s="139" customFormat="1" ht="13.5" customHeight="1"/>
    <row r="533" s="139" customFormat="1" ht="13.5" customHeight="1"/>
    <row r="534" s="139" customFormat="1" ht="13.5" customHeight="1"/>
    <row r="535" s="139" customFormat="1" ht="13.5" customHeight="1"/>
    <row r="536" s="139" customFormat="1" ht="13.5" customHeight="1"/>
    <row r="537" s="139" customFormat="1" ht="13.5" customHeight="1"/>
    <row r="538" s="139" customFormat="1" ht="13.5" customHeight="1"/>
    <row r="539" s="139" customFormat="1" ht="13.5" customHeight="1"/>
    <row r="540" s="139" customFormat="1" ht="13.5" customHeight="1"/>
    <row r="541" s="139" customFormat="1" ht="13.5" customHeight="1"/>
    <row r="542" s="139" customFormat="1" ht="13.5" customHeight="1"/>
    <row r="543" s="139" customFormat="1" ht="13.5" customHeight="1"/>
    <row r="544" s="139" customFormat="1" ht="13.5" customHeight="1"/>
    <row r="545" s="139" customFormat="1" ht="13.5" customHeight="1"/>
    <row r="546" s="139" customFormat="1" ht="13.5" customHeight="1"/>
    <row r="547" s="139" customFormat="1" ht="13.5" customHeight="1"/>
    <row r="548" s="139" customFormat="1" ht="13.5" customHeight="1"/>
    <row r="549" s="139" customFormat="1" ht="13.5" customHeight="1"/>
    <row r="550" s="139" customFormat="1" ht="13.5" customHeight="1"/>
    <row r="551" s="139" customFormat="1" ht="13.5" customHeight="1"/>
    <row r="552" s="139" customFormat="1" ht="13.5" customHeight="1"/>
    <row r="553" s="139" customFormat="1" ht="13.5" customHeight="1"/>
    <row r="554" s="139" customFormat="1" ht="13.5" customHeight="1"/>
    <row r="555" s="139" customFormat="1" ht="13.5" customHeight="1"/>
    <row r="556" s="139" customFormat="1" ht="13.5" customHeight="1"/>
    <row r="557" s="139" customFormat="1" ht="13.5" customHeight="1"/>
    <row r="558" s="139" customFormat="1" ht="13.5" customHeight="1"/>
    <row r="559" s="139" customFormat="1" ht="13.5" customHeight="1"/>
    <row r="560" s="139" customFormat="1" ht="13.5" customHeight="1"/>
    <row r="561" s="139" customFormat="1" ht="13.5" customHeight="1"/>
    <row r="562" s="139" customFormat="1" ht="13.5" customHeight="1"/>
    <row r="563" s="139" customFormat="1" ht="13.5" customHeight="1"/>
    <row r="564" s="139" customFormat="1" ht="13.5" customHeight="1"/>
    <row r="565" s="139" customFormat="1" ht="13.5" customHeight="1"/>
    <row r="566" s="139" customFormat="1" ht="13.5" customHeight="1"/>
    <row r="567" s="139" customFormat="1" ht="13.5" customHeight="1"/>
    <row r="568" s="139" customFormat="1" ht="13.5" customHeight="1"/>
    <row r="569" s="139" customFormat="1" ht="13.5" customHeight="1"/>
    <row r="570" s="139" customFormat="1" ht="13.5" customHeight="1"/>
    <row r="571" s="139" customFormat="1" ht="13.5" customHeight="1"/>
    <row r="572" s="139" customFormat="1" ht="13.5" customHeight="1"/>
    <row r="573" s="139" customFormat="1" ht="13.5" customHeight="1"/>
    <row r="574" s="139" customFormat="1" ht="13.5" customHeight="1"/>
    <row r="575" s="139" customFormat="1" ht="13.5" customHeight="1"/>
    <row r="576" s="139" customFormat="1" ht="13.5" customHeight="1"/>
    <row r="577" s="139" customFormat="1" ht="13.5" customHeight="1"/>
    <row r="578" s="139" customFormat="1" ht="13.5" customHeight="1"/>
    <row r="579" s="139" customFormat="1" ht="13.5" customHeight="1"/>
    <row r="580" s="139" customFormat="1" ht="13.5" customHeight="1"/>
    <row r="581" s="139" customFormat="1" ht="13.5" customHeight="1"/>
    <row r="582" s="139" customFormat="1" ht="13.5" customHeight="1"/>
    <row r="583" s="139" customFormat="1" ht="13.5" customHeight="1"/>
    <row r="584" s="139" customFormat="1" ht="13.5" customHeight="1"/>
    <row r="585" s="139" customFormat="1" ht="13.5" customHeight="1"/>
    <row r="586" s="139" customFormat="1" ht="13.5" customHeight="1"/>
    <row r="587" s="139" customFormat="1" ht="13.5" customHeight="1"/>
    <row r="588" s="139" customFormat="1" ht="13.5" customHeight="1"/>
    <row r="589" s="139" customFormat="1" ht="13.5" customHeight="1"/>
    <row r="590" s="139" customFormat="1" ht="13.5" customHeight="1"/>
    <row r="591" s="139" customFormat="1" ht="13.5" customHeight="1"/>
    <row r="592" s="139" customFormat="1" ht="13.5" customHeight="1"/>
    <row r="593" s="139" customFormat="1" ht="13.5" customHeight="1"/>
    <row r="594" s="139" customFormat="1" ht="13.5" customHeight="1"/>
    <row r="595" s="139" customFormat="1" ht="13.5" customHeight="1"/>
    <row r="596" s="139" customFormat="1" ht="13.5" customHeight="1"/>
    <row r="597" s="139" customFormat="1" ht="13.5" customHeight="1"/>
    <row r="598" s="139" customFormat="1" ht="13.5" customHeight="1"/>
    <row r="599" s="139" customFormat="1" ht="13.5" customHeight="1"/>
    <row r="600" s="139" customFormat="1" ht="13.5" customHeight="1"/>
    <row r="601" s="139" customFormat="1" ht="13.5" customHeight="1"/>
    <row r="602" s="139" customFormat="1" ht="13.5" customHeight="1"/>
    <row r="603" s="139" customFormat="1" ht="13.5" customHeight="1"/>
    <row r="604" s="139" customFormat="1" ht="13.5" customHeight="1"/>
    <row r="605" s="139" customFormat="1" ht="13.5" customHeight="1"/>
    <row r="606" s="139" customFormat="1" ht="13.5" customHeight="1"/>
    <row r="607" s="139" customFormat="1" ht="13.5" customHeight="1"/>
    <row r="608" s="139" customFormat="1" ht="13.5" customHeight="1"/>
    <row r="609" s="139" customFormat="1" ht="13.5" customHeight="1"/>
    <row r="610" s="139" customFormat="1" ht="13.5" customHeight="1"/>
    <row r="611" s="139" customFormat="1" ht="13.5" customHeight="1"/>
    <row r="612" s="139" customFormat="1" ht="13.5" customHeight="1"/>
    <row r="613" s="139" customFormat="1" ht="13.5" customHeight="1"/>
    <row r="614" s="139" customFormat="1" ht="13.5" customHeight="1"/>
    <row r="615" s="139" customFormat="1" ht="13.5" customHeight="1"/>
    <row r="616" s="139" customFormat="1" ht="13.5" customHeight="1"/>
    <row r="617" s="139" customFormat="1" ht="13.5" customHeight="1"/>
    <row r="618" s="139" customFormat="1" ht="13.5" customHeight="1"/>
    <row r="619" s="139" customFormat="1" ht="13.5" customHeight="1"/>
    <row r="620" s="139" customFormat="1" ht="13.5" customHeight="1"/>
    <row r="621" s="139" customFormat="1" ht="13.5" customHeight="1"/>
    <row r="622" s="139" customFormat="1" ht="13.5" customHeight="1"/>
    <row r="623" s="139" customFormat="1" ht="13.5" customHeight="1"/>
    <row r="624" s="139" customFormat="1" ht="13.5" customHeight="1"/>
    <row r="625" s="139" customFormat="1" ht="13.5" customHeight="1"/>
    <row r="626" s="139" customFormat="1" ht="13.5" customHeight="1"/>
    <row r="627" s="139" customFormat="1" ht="13.5" customHeight="1"/>
    <row r="628" s="139" customFormat="1" ht="13.5" customHeight="1"/>
    <row r="629" s="139" customFormat="1" ht="13.5" customHeight="1"/>
    <row r="630" s="139" customFormat="1" ht="13.5" customHeight="1"/>
    <row r="631" s="139" customFormat="1" ht="13.5" customHeight="1"/>
    <row r="632" s="139" customFormat="1" ht="13.5" customHeight="1"/>
    <row r="633" s="139" customFormat="1" ht="13.5" customHeight="1"/>
    <row r="634" s="139" customFormat="1" ht="13.5" customHeight="1"/>
    <row r="635" s="139" customFormat="1" ht="13.5" customHeight="1"/>
    <row r="636" s="139" customFormat="1" ht="13.5" customHeight="1"/>
    <row r="637" s="139" customFormat="1" ht="13.5" customHeight="1"/>
    <row r="638" s="139" customFormat="1" ht="13.5" customHeight="1"/>
    <row r="639" s="139" customFormat="1" ht="13.5" customHeight="1"/>
    <row r="640" s="139" customFormat="1" ht="13.5" customHeight="1"/>
    <row r="641" s="139" customFormat="1" ht="13.5" customHeight="1"/>
    <row r="642" s="139" customFormat="1" ht="13.5" customHeight="1"/>
    <row r="643" s="139" customFormat="1" ht="13.5" customHeight="1"/>
    <row r="644" s="139" customFormat="1" ht="13.5" customHeight="1"/>
    <row r="645" s="139" customFormat="1" ht="13.5" customHeight="1"/>
    <row r="646" s="139" customFormat="1" ht="13.5" customHeight="1"/>
    <row r="647" s="139" customFormat="1" ht="13.5" customHeight="1"/>
    <row r="648" s="139" customFormat="1" ht="13.5" customHeight="1"/>
    <row r="649" s="139" customFormat="1" ht="13.5" customHeight="1"/>
    <row r="650" s="139" customFormat="1" ht="13.5" customHeight="1"/>
    <row r="651" s="139" customFormat="1" ht="13.5" customHeight="1"/>
    <row r="652" s="139" customFormat="1" ht="13.5" customHeight="1"/>
    <row r="653" s="139" customFormat="1" ht="13.5" customHeight="1"/>
    <row r="654" s="139" customFormat="1" ht="13.5" customHeight="1"/>
    <row r="655" s="139" customFormat="1" ht="13.5" customHeight="1"/>
    <row r="656" s="139" customFormat="1" ht="13.5" customHeight="1"/>
    <row r="657" s="139" customFormat="1" ht="13.5" customHeight="1"/>
    <row r="658" s="139" customFormat="1" ht="13.5" customHeight="1"/>
    <row r="659" s="139" customFormat="1" ht="13.5" customHeight="1"/>
    <row r="660" s="139" customFormat="1" ht="13.5" customHeight="1"/>
    <row r="661" s="139" customFormat="1" ht="13.5" customHeight="1"/>
    <row r="662" s="139" customFormat="1" ht="13.5" customHeight="1"/>
    <row r="663" s="139" customFormat="1" ht="13.5" customHeight="1"/>
    <row r="664" s="139" customFormat="1" ht="13.5" customHeight="1"/>
    <row r="665" s="139" customFormat="1" ht="13.5" customHeight="1"/>
    <row r="666" s="139" customFormat="1" ht="13.5" customHeight="1"/>
    <row r="667" s="139" customFormat="1" ht="13.5" customHeight="1"/>
    <row r="668" s="139" customFormat="1" ht="13.5" customHeight="1"/>
    <row r="669" s="139" customFormat="1" ht="13.5" customHeight="1"/>
    <row r="670" s="139" customFormat="1" ht="13.5" customHeight="1"/>
    <row r="671" s="139" customFormat="1" ht="13.5" customHeight="1"/>
    <row r="672" s="139" customFormat="1" ht="13.5" customHeight="1"/>
    <row r="673" s="139" customFormat="1" ht="13.5" customHeight="1"/>
    <row r="674" s="139" customFormat="1" ht="13.5" customHeight="1"/>
    <row r="675" s="139" customFormat="1" ht="13.5" customHeight="1"/>
    <row r="676" s="139" customFormat="1" ht="13.5" customHeight="1"/>
    <row r="677" s="139" customFormat="1" ht="13.5" customHeight="1"/>
    <row r="678" s="139" customFormat="1" ht="13.5" customHeight="1"/>
    <row r="679" s="139" customFormat="1" ht="13.5" customHeight="1"/>
    <row r="680" s="139" customFormat="1" ht="13.5" customHeight="1"/>
    <row r="681" s="139" customFormat="1" ht="13.5" customHeight="1"/>
    <row r="682" s="139" customFormat="1" ht="13.5" customHeight="1"/>
    <row r="683" s="139" customFormat="1" ht="13.5" customHeight="1"/>
    <row r="684" s="139" customFormat="1" ht="13.5" customHeight="1"/>
    <row r="685" s="139" customFormat="1" ht="13.5" customHeight="1"/>
    <row r="686" s="139" customFormat="1" ht="13.5" customHeight="1"/>
    <row r="687" s="139" customFormat="1" ht="13.5" customHeight="1"/>
    <row r="688" s="139" customFormat="1" ht="13.5" customHeight="1"/>
    <row r="689" s="139" customFormat="1" ht="13.5" customHeight="1"/>
    <row r="690" s="139" customFormat="1" ht="13.5" customHeight="1"/>
    <row r="691" s="139" customFormat="1" ht="13.5" customHeight="1"/>
    <row r="692" s="139" customFormat="1" ht="13.5" customHeight="1"/>
    <row r="693" s="139" customFormat="1" ht="13.5" customHeight="1"/>
    <row r="694" s="139" customFormat="1" ht="13.5" customHeight="1"/>
    <row r="695" s="139" customFormat="1" ht="13.5" customHeight="1"/>
    <row r="696" s="139" customFormat="1" ht="13.5" customHeight="1"/>
    <row r="697" s="139" customFormat="1" ht="13.5" customHeight="1"/>
    <row r="698" s="139" customFormat="1" ht="13.5" customHeight="1"/>
    <row r="699" s="139" customFormat="1" ht="13.5" customHeight="1"/>
    <row r="700" s="139" customFormat="1" ht="13.5" customHeight="1"/>
    <row r="701" s="139" customFormat="1" ht="13.5" customHeight="1"/>
    <row r="702" s="139" customFormat="1" ht="13.5" customHeight="1"/>
    <row r="703" s="139" customFormat="1" ht="13.5" customHeight="1"/>
    <row r="704" s="139" customFormat="1" ht="13.5" customHeight="1"/>
    <row r="705" s="139" customFormat="1" ht="13.5" customHeight="1"/>
    <row r="706" s="139" customFormat="1" ht="13.5" customHeight="1"/>
    <row r="707" s="139" customFormat="1" ht="13.5" customHeight="1"/>
    <row r="708" s="139" customFormat="1" ht="13.5" customHeight="1"/>
    <row r="709" s="139" customFormat="1" ht="13.5" customHeight="1"/>
    <row r="710" s="139" customFormat="1" ht="13.5" customHeight="1"/>
    <row r="711" s="139" customFormat="1" ht="13.5" customHeight="1"/>
    <row r="712" s="139" customFormat="1" ht="13.5" customHeight="1"/>
    <row r="713" s="139" customFormat="1" ht="13.5" customHeight="1"/>
    <row r="714" s="139" customFormat="1" ht="13.5" customHeight="1"/>
    <row r="715" s="139" customFormat="1" ht="13.5" customHeight="1"/>
    <row r="716" s="139" customFormat="1" ht="13.5" customHeight="1"/>
    <row r="717" s="139" customFormat="1" ht="13.5" customHeight="1"/>
    <row r="718" s="139" customFormat="1" ht="13.5" customHeight="1"/>
    <row r="719" s="139" customFormat="1" ht="13.5" customHeight="1"/>
    <row r="720" s="139" customFormat="1" ht="13.5" customHeight="1"/>
    <row r="721" s="139" customFormat="1" ht="13.5" customHeight="1"/>
    <row r="722" s="139" customFormat="1" ht="13.5" customHeight="1"/>
    <row r="723" s="139" customFormat="1" ht="13.5" customHeight="1"/>
    <row r="724" s="139" customFormat="1" ht="13.5" customHeight="1"/>
    <row r="725" s="139" customFormat="1" ht="13.5" customHeight="1"/>
    <row r="726" s="139" customFormat="1" ht="13.5" customHeight="1"/>
    <row r="727" s="139" customFormat="1" ht="13.5" customHeight="1"/>
    <row r="728" s="139" customFormat="1" ht="13.5" customHeight="1"/>
    <row r="729" s="139" customFormat="1" ht="13.5" customHeight="1"/>
    <row r="730" s="139" customFormat="1" ht="13.5" customHeight="1"/>
    <row r="731" s="139" customFormat="1" ht="13.5" customHeight="1"/>
    <row r="732" s="139" customFormat="1" ht="13.5" customHeight="1"/>
    <row r="733" s="139" customFormat="1" ht="13.5" customHeight="1"/>
    <row r="734" s="139" customFormat="1" ht="13.5" customHeight="1"/>
    <row r="735" s="139" customFormat="1" ht="13.5" customHeight="1"/>
    <row r="736" s="139" customFormat="1" ht="13.5" customHeight="1"/>
    <row r="737" s="139" customFormat="1" ht="13.5" customHeight="1"/>
    <row r="738" s="139" customFormat="1" ht="13.5" customHeight="1"/>
    <row r="739" s="139" customFormat="1" ht="13.5" customHeight="1"/>
    <row r="740" s="139" customFormat="1" ht="13.5" customHeight="1"/>
    <row r="741" s="139" customFormat="1" ht="13.5" customHeight="1"/>
    <row r="742" s="139" customFormat="1" ht="13.5" customHeight="1"/>
    <row r="743" s="139" customFormat="1" ht="13.5" customHeight="1"/>
    <row r="744" s="139" customFormat="1" ht="13.5" customHeight="1"/>
    <row r="745" s="139" customFormat="1" ht="13.5" customHeight="1"/>
    <row r="746" s="139" customFormat="1" ht="13.5" customHeight="1"/>
    <row r="747" s="139" customFormat="1" ht="13.5" customHeight="1"/>
    <row r="748" s="139" customFormat="1" ht="13.5" customHeight="1"/>
    <row r="749" s="139" customFormat="1" ht="13.5" customHeight="1"/>
    <row r="750" s="139" customFormat="1" ht="13.5" customHeight="1"/>
    <row r="751" s="139" customFormat="1" ht="13.5" customHeight="1"/>
    <row r="752" s="139" customFormat="1" ht="13.5" customHeight="1"/>
    <row r="753" s="139" customFormat="1" ht="13.5" customHeight="1"/>
    <row r="754" s="139" customFormat="1" ht="13.5" customHeight="1"/>
    <row r="755" s="139" customFormat="1" ht="13.5" customHeight="1"/>
    <row r="756" s="139" customFormat="1" ht="13.5" customHeight="1"/>
    <row r="757" s="139" customFormat="1" ht="13.5" customHeight="1"/>
    <row r="758" s="139" customFormat="1" ht="13.5" customHeight="1"/>
    <row r="759" s="139" customFormat="1" ht="13.5" customHeight="1"/>
    <row r="760" s="139" customFormat="1" ht="13.5" customHeight="1"/>
    <row r="761" s="139" customFormat="1" ht="13.5" customHeight="1"/>
    <row r="762" s="139" customFormat="1" ht="13.5" customHeight="1"/>
  </sheetData>
  <sheetProtection password="CBE5" sheet="1" objects="1" scenarios="1" selectLockedCells="1"/>
  <mergeCells count="14">
    <mergeCell ref="B56:H57"/>
    <mergeCell ref="G70:I70"/>
    <mergeCell ref="B11:I11"/>
    <mergeCell ref="B14:I14"/>
    <mergeCell ref="B16:I16"/>
    <mergeCell ref="D39:E39"/>
    <mergeCell ref="D62:G62"/>
    <mergeCell ref="D65:G65"/>
    <mergeCell ref="B19:I19"/>
    <mergeCell ref="B9:I9"/>
    <mergeCell ref="B18:I18"/>
    <mergeCell ref="B27:M27"/>
    <mergeCell ref="B4:J4"/>
    <mergeCell ref="B7:I7"/>
  </mergeCells>
  <conditionalFormatting sqref="G70">
    <cfRule type="cellIs" priority="1" dxfId="0" operator="equal" stopIfTrue="1">
      <formula>"ERROR"</formula>
    </cfRule>
  </conditionalFormatting>
  <conditionalFormatting sqref="D39:E39">
    <cfRule type="cellIs" priority="2" dxfId="0" operator="equal" stopIfTrue="1">
      <formula>"No"</formula>
    </cfRule>
  </conditionalFormatting>
  <printOptions/>
  <pageMargins left="0.75" right="0.75" top="1" bottom="1" header="0.5" footer="0.5"/>
  <pageSetup horizontalDpi="600" verticalDpi="600" orientation="landscape" scale="82" r:id="rId2"/>
  <rowBreaks count="1" manualBreakCount="1">
    <brk id="25" max="255" man="1"/>
  </rowBreaks>
  <legacyDrawing r:id="rId1"/>
</worksheet>
</file>

<file path=xl/worksheets/sheet2.xml><?xml version="1.0" encoding="utf-8"?>
<worksheet xmlns="http://schemas.openxmlformats.org/spreadsheetml/2006/main" xmlns:r="http://schemas.openxmlformats.org/officeDocument/2006/relationships">
  <dimension ref="A1:DC296"/>
  <sheetViews>
    <sheetView workbookViewId="0" topLeftCell="A94">
      <selection activeCell="B18" sqref="B18:I18"/>
    </sheetView>
  </sheetViews>
  <sheetFormatPr defaultColWidth="9.140625" defaultRowHeight="12.75"/>
  <cols>
    <col min="1" max="1" width="3.00390625" style="1" bestFit="1" customWidth="1"/>
    <col min="2" max="2" width="14.8515625" style="1" bestFit="1" customWidth="1"/>
    <col min="3" max="3" width="11.140625" style="1" customWidth="1"/>
    <col min="4" max="4" width="2.140625" style="1" bestFit="1" customWidth="1"/>
    <col min="5" max="5" width="23.7109375" style="1" bestFit="1" customWidth="1"/>
    <col min="6" max="6" width="2.00390625" style="1" customWidth="1"/>
    <col min="7" max="7" width="18.57421875" style="1" bestFit="1" customWidth="1"/>
    <col min="8" max="8" width="2.28125" style="1" customWidth="1"/>
    <col min="9" max="9" width="21.00390625" style="1" bestFit="1" customWidth="1"/>
    <col min="10" max="11" width="21.00390625" style="1" customWidth="1"/>
    <col min="12" max="12" width="57.28125" style="1" bestFit="1" customWidth="1"/>
    <col min="13" max="19" width="9.140625" style="1" customWidth="1"/>
    <col min="20" max="20" width="21.7109375" style="1" customWidth="1"/>
    <col min="21" max="21" width="9.140625" style="1" customWidth="1"/>
    <col min="22" max="22" width="38.421875" style="1" customWidth="1"/>
    <col min="23" max="23" width="13.421875" style="86" customWidth="1"/>
    <col min="24" max="24" width="5.00390625" style="1" bestFit="1" customWidth="1"/>
    <col min="25" max="25" width="10.28125" style="1" customWidth="1"/>
    <col min="26" max="26" width="9.140625" style="1" customWidth="1"/>
    <col min="27" max="27" width="14.7109375" style="1" customWidth="1"/>
    <col min="28" max="29" width="15.140625" style="86" customWidth="1"/>
    <col min="30" max="30" width="9.28125" style="1" customWidth="1"/>
    <col min="31" max="31" width="10.57421875" style="1" customWidth="1"/>
    <col min="32" max="32" width="10.421875" style="1" customWidth="1"/>
    <col min="33" max="39" width="12.00390625" style="1" customWidth="1"/>
    <col min="40" max="42" width="9.140625" style="1" customWidth="1"/>
    <col min="43" max="43" width="14.7109375" style="1" bestFit="1" customWidth="1"/>
    <col min="44" max="48" width="9.140625" style="1" customWidth="1"/>
    <col min="49" max="49" width="14.140625" style="1" customWidth="1"/>
    <col min="50" max="67" width="9.140625" style="1" customWidth="1"/>
    <col min="68" max="68" width="13.421875" style="1" customWidth="1"/>
    <col min="69" max="70" width="9.140625" style="1" customWidth="1"/>
    <col min="71" max="71" width="13.421875" style="1" customWidth="1"/>
    <col min="72" max="73" width="9.140625" style="1" customWidth="1"/>
    <col min="74" max="74" width="13.421875" style="1" customWidth="1"/>
    <col min="75" max="75" width="9.140625" style="1" customWidth="1"/>
    <col min="76" max="76" width="39.57421875" style="1" bestFit="1" customWidth="1"/>
    <col min="77" max="77" width="37.140625" style="1" customWidth="1"/>
    <col min="78" max="78" width="11.28125" style="1" customWidth="1"/>
    <col min="79" max="79" width="9.140625" style="1" customWidth="1"/>
    <col min="80" max="80" width="69.7109375" style="1" bestFit="1" customWidth="1"/>
    <col min="81" max="81" width="5.140625" style="1" bestFit="1" customWidth="1"/>
    <col min="82" max="82" width="3.28125" style="1" bestFit="1" customWidth="1"/>
    <col min="83" max="84" width="9.140625" style="1" customWidth="1"/>
    <col min="85" max="85" width="50.140625" style="1" bestFit="1" customWidth="1"/>
    <col min="86" max="86" width="27.28125" style="1" customWidth="1"/>
    <col min="87" max="88" width="9.140625" style="1" customWidth="1"/>
    <col min="89" max="89" width="29.00390625" style="1" customWidth="1"/>
    <col min="90" max="90" width="35.421875" style="1" bestFit="1" customWidth="1"/>
    <col min="91" max="91" width="9.140625" style="1" customWidth="1"/>
    <col min="92" max="92" width="12.421875" style="1" customWidth="1"/>
    <col min="93" max="93" width="43.28125" style="1" customWidth="1"/>
    <col min="94" max="94" width="37.8515625" style="1" bestFit="1" customWidth="1"/>
    <col min="95" max="95" width="12.7109375" style="1" customWidth="1"/>
    <col min="96" max="97" width="9.140625" style="1" customWidth="1"/>
    <col min="98" max="98" width="21.8515625" style="1" bestFit="1" customWidth="1"/>
    <col min="99" max="99" width="9.8515625" style="1" bestFit="1" customWidth="1"/>
    <col min="100" max="101" width="9.140625" style="1" customWidth="1"/>
    <col min="102" max="102" width="9.00390625" style="1" bestFit="1" customWidth="1"/>
    <col min="103" max="103" width="15.57421875" style="1" bestFit="1" customWidth="1"/>
    <col min="104" max="104" width="15.00390625" style="1" bestFit="1" customWidth="1"/>
    <col min="105" max="16384" width="9.140625" style="1" customWidth="1"/>
  </cols>
  <sheetData>
    <row r="1" spans="2:4" ht="36">
      <c r="B1" s="37" t="s">
        <v>19</v>
      </c>
      <c r="C1" s="38" t="s">
        <v>21</v>
      </c>
      <c r="D1" s="58"/>
    </row>
    <row r="2" spans="1:4" ht="12">
      <c r="A2" s="1">
        <v>1</v>
      </c>
      <c r="B2" s="15" t="s">
        <v>59</v>
      </c>
      <c r="C2" s="15">
        <v>82</v>
      </c>
      <c r="D2" s="43"/>
    </row>
    <row r="3" spans="1:4" ht="12">
      <c r="A3" s="1">
        <v>2</v>
      </c>
      <c r="B3" s="15" t="s">
        <v>65</v>
      </c>
      <c r="C3" s="15">
        <v>95</v>
      </c>
      <c r="D3" s="43"/>
    </row>
    <row r="4" spans="1:4" ht="12">
      <c r="A4" s="1">
        <v>3</v>
      </c>
      <c r="B4" s="15" t="s">
        <v>66</v>
      </c>
      <c r="C4" s="15">
        <v>105</v>
      </c>
      <c r="D4" s="43"/>
    </row>
    <row r="5" spans="1:4" ht="12">
      <c r="A5" s="1">
        <v>4</v>
      </c>
      <c r="B5" s="15" t="s">
        <v>67</v>
      </c>
      <c r="C5" s="15">
        <v>115</v>
      </c>
      <c r="D5" s="43"/>
    </row>
    <row r="6" spans="1:4" ht="12">
      <c r="A6" s="1">
        <v>5</v>
      </c>
      <c r="B6" s="14">
        <v>6230</v>
      </c>
      <c r="C6" s="15">
        <v>75</v>
      </c>
      <c r="D6" s="43"/>
    </row>
    <row r="7" spans="1:4" ht="12">
      <c r="A7" s="1">
        <v>6</v>
      </c>
      <c r="B7" s="16">
        <v>6330</v>
      </c>
      <c r="C7" s="15">
        <v>85</v>
      </c>
      <c r="D7" s="43"/>
    </row>
    <row r="8" spans="1:4" ht="12">
      <c r="A8" s="1">
        <v>7</v>
      </c>
      <c r="B8" s="16">
        <v>6430</v>
      </c>
      <c r="C8" s="15">
        <v>95</v>
      </c>
      <c r="D8" s="43"/>
    </row>
    <row r="9" spans="1:4" ht="12">
      <c r="A9" s="1">
        <v>8</v>
      </c>
      <c r="B9" s="16">
        <v>7130</v>
      </c>
      <c r="C9" s="15">
        <v>100</v>
      </c>
      <c r="D9" s="43"/>
    </row>
    <row r="10" spans="1:4" ht="12">
      <c r="A10" s="1">
        <v>9</v>
      </c>
      <c r="B10" s="16">
        <v>7230</v>
      </c>
      <c r="C10" s="15">
        <v>110</v>
      </c>
      <c r="D10" s="43"/>
    </row>
    <row r="11" spans="1:4" ht="12">
      <c r="A11" s="1">
        <v>10</v>
      </c>
      <c r="B11" s="16">
        <v>7330</v>
      </c>
      <c r="C11" s="15">
        <v>125</v>
      </c>
      <c r="D11" s="43"/>
    </row>
    <row r="12" spans="1:4" ht="12">
      <c r="A12" s="1">
        <v>11</v>
      </c>
      <c r="B12" s="16">
        <v>7430</v>
      </c>
      <c r="C12" s="15">
        <v>140</v>
      </c>
      <c r="D12" s="43"/>
    </row>
    <row r="13" spans="1:4" ht="12">
      <c r="A13" s="1">
        <v>12</v>
      </c>
      <c r="B13" s="16">
        <v>7530</v>
      </c>
      <c r="C13" s="15">
        <v>152</v>
      </c>
      <c r="D13" s="43"/>
    </row>
    <row r="14" spans="5:6" ht="12">
      <c r="E14" s="39" t="s">
        <v>18</v>
      </c>
      <c r="F14" s="59"/>
    </row>
    <row r="15" spans="4:6" ht="12">
      <c r="D15" s="1">
        <v>1</v>
      </c>
      <c r="E15" s="15" t="s">
        <v>60</v>
      </c>
      <c r="F15" s="43"/>
    </row>
    <row r="16" spans="4:6" ht="12">
      <c r="D16" s="1">
        <v>2</v>
      </c>
      <c r="E16" s="15" t="s">
        <v>63</v>
      </c>
      <c r="F16" s="43"/>
    </row>
    <row r="17" spans="4:6" ht="12">
      <c r="D17" s="1">
        <v>3</v>
      </c>
      <c r="E17" s="15" t="s">
        <v>84</v>
      </c>
      <c r="F17" s="43"/>
    </row>
    <row r="18" spans="7:8" ht="12">
      <c r="G18" s="40" t="s">
        <v>0</v>
      </c>
      <c r="H18" s="60"/>
    </row>
    <row r="19" spans="6:8" ht="12">
      <c r="F19" s="1">
        <v>1</v>
      </c>
      <c r="G19" s="17" t="s">
        <v>6</v>
      </c>
      <c r="H19" s="42"/>
    </row>
    <row r="20" spans="6:8" ht="12">
      <c r="F20" s="1">
        <v>2</v>
      </c>
      <c r="G20" s="17" t="s">
        <v>64</v>
      </c>
      <c r="H20" s="42"/>
    </row>
    <row r="21" spans="6:8" ht="12">
      <c r="F21" s="1">
        <v>3</v>
      </c>
      <c r="G21" s="17" t="s">
        <v>73</v>
      </c>
      <c r="H21" s="42"/>
    </row>
    <row r="22" spans="9:11" ht="12">
      <c r="I22" s="41" t="s">
        <v>20</v>
      </c>
      <c r="J22" s="114"/>
      <c r="K22" s="114"/>
    </row>
    <row r="23" spans="8:11" ht="12">
      <c r="H23" s="1">
        <v>1</v>
      </c>
      <c r="I23" s="15" t="s">
        <v>61</v>
      </c>
      <c r="J23" s="43"/>
      <c r="K23" s="43"/>
    </row>
    <row r="24" spans="8:11" ht="12">
      <c r="H24" s="1">
        <v>2</v>
      </c>
      <c r="I24" s="15" t="s">
        <v>62</v>
      </c>
      <c r="J24" s="43"/>
      <c r="K24" s="43"/>
    </row>
    <row r="25" spans="8:11" ht="12">
      <c r="H25" s="1">
        <v>3</v>
      </c>
      <c r="I25" s="15" t="s">
        <v>68</v>
      </c>
      <c r="J25" s="43"/>
      <c r="K25" s="43"/>
    </row>
    <row r="26" spans="8:11" ht="12">
      <c r="H26" s="1">
        <v>4</v>
      </c>
      <c r="I26" s="15" t="s">
        <v>70</v>
      </c>
      <c r="J26" s="43"/>
      <c r="K26" s="43"/>
    </row>
    <row r="27" spans="8:11" ht="12">
      <c r="H27" s="1">
        <v>5</v>
      </c>
      <c r="I27" s="15" t="s">
        <v>69</v>
      </c>
      <c r="J27" s="43"/>
      <c r="K27" s="43"/>
    </row>
    <row r="28" spans="8:11" ht="12">
      <c r="H28" s="1">
        <v>6</v>
      </c>
      <c r="I28" s="15" t="s">
        <v>72</v>
      </c>
      <c r="J28" s="43"/>
      <c r="K28" s="43"/>
    </row>
    <row r="29" spans="8:11" ht="12">
      <c r="H29" s="1">
        <v>7</v>
      </c>
      <c r="I29" s="15" t="s">
        <v>75</v>
      </c>
      <c r="J29" s="43"/>
      <c r="K29" s="43"/>
    </row>
    <row r="30" spans="9:11" ht="12">
      <c r="I30" s="43"/>
      <c r="J30" s="43"/>
      <c r="K30" s="43"/>
    </row>
    <row r="31" spans="12:22" ht="12">
      <c r="L31" s="18"/>
      <c r="M31" s="18"/>
      <c r="N31" s="18"/>
      <c r="O31" s="72"/>
      <c r="P31" s="19"/>
      <c r="Q31" s="19"/>
      <c r="R31" s="205" t="s">
        <v>14</v>
      </c>
      <c r="S31" s="206"/>
      <c r="T31" s="115"/>
      <c r="U31" s="115"/>
      <c r="V31" s="64"/>
    </row>
    <row r="32" spans="12:22" ht="12">
      <c r="L32" s="19" t="s">
        <v>455</v>
      </c>
      <c r="M32" s="18"/>
      <c r="N32" s="18"/>
      <c r="O32" s="72"/>
      <c r="P32" s="207" t="s">
        <v>10</v>
      </c>
      <c r="Q32" s="207" t="s">
        <v>37</v>
      </c>
      <c r="R32" s="209" t="s">
        <v>2</v>
      </c>
      <c r="S32" s="209"/>
      <c r="T32" s="116"/>
      <c r="U32" s="116"/>
      <c r="V32" s="63"/>
    </row>
    <row r="33" spans="12:22" ht="12" customHeight="1">
      <c r="L33" s="20" t="s">
        <v>31</v>
      </c>
      <c r="M33" s="20" t="s">
        <v>23</v>
      </c>
      <c r="N33" s="20" t="s">
        <v>86</v>
      </c>
      <c r="O33" s="73" t="s">
        <v>87</v>
      </c>
      <c r="P33" s="208"/>
      <c r="Q33" s="208"/>
      <c r="R33" s="20" t="s">
        <v>3</v>
      </c>
      <c r="S33" s="20" t="s">
        <v>4</v>
      </c>
      <c r="T33" s="117"/>
      <c r="U33" s="117"/>
      <c r="V33" s="63"/>
    </row>
    <row r="34" spans="10:22" ht="12">
      <c r="J34" s="74" t="s">
        <v>88</v>
      </c>
      <c r="K34" s="1">
        <v>1</v>
      </c>
      <c r="L34" s="76" t="s">
        <v>89</v>
      </c>
      <c r="M34" s="77" t="s">
        <v>90</v>
      </c>
      <c r="N34" s="77"/>
      <c r="O34" s="78">
        <v>2540</v>
      </c>
      <c r="P34" s="8">
        <v>18</v>
      </c>
      <c r="Q34" s="5">
        <v>12.25</v>
      </c>
      <c r="R34" s="21"/>
      <c r="S34" s="5"/>
      <c r="T34" s="118"/>
      <c r="U34" s="118"/>
      <c r="V34" s="67"/>
    </row>
    <row r="35" spans="11:22" ht="12">
      <c r="K35" s="1">
        <v>2</v>
      </c>
      <c r="L35" s="76" t="s">
        <v>91</v>
      </c>
      <c r="M35" s="77" t="s">
        <v>92</v>
      </c>
      <c r="N35" s="77"/>
      <c r="O35" s="78">
        <v>2692.4</v>
      </c>
      <c r="P35" s="8">
        <v>16</v>
      </c>
      <c r="Q35" s="5">
        <v>12.25</v>
      </c>
      <c r="R35" s="21"/>
      <c r="S35" s="5"/>
      <c r="T35" s="118"/>
      <c r="U35" s="118"/>
      <c r="V35" s="67"/>
    </row>
    <row r="36" spans="11:22" ht="12">
      <c r="K36" s="1">
        <v>3</v>
      </c>
      <c r="L36" s="76" t="s">
        <v>93</v>
      </c>
      <c r="M36" s="77" t="s">
        <v>94</v>
      </c>
      <c r="N36" s="77"/>
      <c r="O36" s="78">
        <v>2204.72</v>
      </c>
      <c r="P36" s="8">
        <v>13</v>
      </c>
      <c r="Q36" s="5">
        <v>12.25</v>
      </c>
      <c r="R36" s="21"/>
      <c r="S36" s="5"/>
      <c r="T36" s="118"/>
      <c r="U36" s="118"/>
      <c r="V36" s="67"/>
    </row>
    <row r="37" spans="11:22" ht="12">
      <c r="K37" s="1">
        <v>4</v>
      </c>
      <c r="L37" s="76" t="s">
        <v>95</v>
      </c>
      <c r="M37" s="77" t="s">
        <v>96</v>
      </c>
      <c r="N37" s="77"/>
      <c r="O37" s="78">
        <v>2641.6</v>
      </c>
      <c r="P37" s="8">
        <v>26</v>
      </c>
      <c r="Q37" s="5">
        <v>12.25</v>
      </c>
      <c r="R37" s="21"/>
      <c r="S37" s="5"/>
      <c r="T37" s="118"/>
      <c r="U37" s="118"/>
      <c r="V37" s="68"/>
    </row>
    <row r="38" spans="11:22" ht="12">
      <c r="K38" s="1">
        <v>5</v>
      </c>
      <c r="L38" s="76" t="s">
        <v>97</v>
      </c>
      <c r="M38" s="77" t="s">
        <v>98</v>
      </c>
      <c r="N38" s="77"/>
      <c r="O38" s="78">
        <v>2286</v>
      </c>
      <c r="P38" s="8">
        <v>20</v>
      </c>
      <c r="Q38" s="5">
        <v>12.25</v>
      </c>
      <c r="R38" s="21"/>
      <c r="S38" s="5"/>
      <c r="T38" s="118"/>
      <c r="U38" s="118"/>
      <c r="V38" s="68"/>
    </row>
    <row r="39" spans="11:22" ht="12">
      <c r="K39" s="1">
        <v>6</v>
      </c>
      <c r="L39" s="76" t="s">
        <v>99</v>
      </c>
      <c r="M39" s="77" t="s">
        <v>100</v>
      </c>
      <c r="N39" s="77"/>
      <c r="O39" s="78">
        <v>2336.8</v>
      </c>
      <c r="P39" s="8">
        <v>17</v>
      </c>
      <c r="Q39" s="5">
        <v>12.25</v>
      </c>
      <c r="R39" s="21"/>
      <c r="S39" s="5"/>
      <c r="T39" s="118"/>
      <c r="U39" s="118"/>
      <c r="V39" s="68"/>
    </row>
    <row r="40" spans="11:22" ht="12">
      <c r="K40" s="1">
        <v>7</v>
      </c>
      <c r="L40" s="76" t="s">
        <v>101</v>
      </c>
      <c r="M40" s="77" t="s">
        <v>102</v>
      </c>
      <c r="N40" s="77"/>
      <c r="O40" s="78">
        <v>2438.4</v>
      </c>
      <c r="P40" s="8">
        <v>17</v>
      </c>
      <c r="Q40" s="5">
        <v>12.25</v>
      </c>
      <c r="R40" s="10"/>
      <c r="S40" s="5"/>
      <c r="T40" s="118"/>
      <c r="U40" s="118"/>
      <c r="V40" s="68"/>
    </row>
    <row r="41" spans="11:22" ht="12">
      <c r="K41" s="1">
        <v>8</v>
      </c>
      <c r="L41" s="76" t="s">
        <v>103</v>
      </c>
      <c r="M41" s="77" t="s">
        <v>104</v>
      </c>
      <c r="N41" s="77"/>
      <c r="O41" s="78">
        <v>2692.4</v>
      </c>
      <c r="P41" s="8">
        <v>29</v>
      </c>
      <c r="Q41" s="5">
        <v>19.05</v>
      </c>
      <c r="R41" s="21"/>
      <c r="S41" s="5"/>
      <c r="T41" s="118"/>
      <c r="U41" s="118"/>
      <c r="V41" s="68"/>
    </row>
    <row r="42" spans="11:22" ht="12">
      <c r="K42" s="1">
        <v>9</v>
      </c>
      <c r="L42" s="76" t="s">
        <v>105</v>
      </c>
      <c r="M42" s="77" t="s">
        <v>106</v>
      </c>
      <c r="N42" s="77"/>
      <c r="O42" s="78">
        <v>2336.8</v>
      </c>
      <c r="P42" s="8">
        <v>16</v>
      </c>
      <c r="Q42" s="5">
        <v>12.25</v>
      </c>
      <c r="R42" s="21"/>
      <c r="S42" s="5"/>
      <c r="T42" s="118"/>
      <c r="U42" s="118"/>
      <c r="V42" s="68"/>
    </row>
    <row r="43" spans="11:22" ht="12">
      <c r="K43" s="1">
        <v>10</v>
      </c>
      <c r="L43" s="76" t="s">
        <v>107</v>
      </c>
      <c r="M43" s="77" t="s">
        <v>108</v>
      </c>
      <c r="N43" s="77"/>
      <c r="O43" s="78">
        <v>2870.2</v>
      </c>
      <c r="P43" s="8">
        <v>30</v>
      </c>
      <c r="Q43" s="5">
        <v>19.05</v>
      </c>
      <c r="R43" s="21"/>
      <c r="S43" s="5"/>
      <c r="T43" s="118"/>
      <c r="U43" s="118"/>
      <c r="V43" s="68"/>
    </row>
    <row r="44" spans="11:22" ht="12">
      <c r="K44" s="1">
        <v>11</v>
      </c>
      <c r="L44" s="76" t="s">
        <v>109</v>
      </c>
      <c r="M44" s="77" t="s">
        <v>110</v>
      </c>
      <c r="N44" s="77"/>
      <c r="O44" s="78">
        <v>2900.68</v>
      </c>
      <c r="P44" s="8">
        <v>49</v>
      </c>
      <c r="Q44" s="5">
        <v>19.05</v>
      </c>
      <c r="R44" s="21"/>
      <c r="S44" s="5"/>
      <c r="T44" s="118"/>
      <c r="U44" s="118"/>
      <c r="V44" s="68"/>
    </row>
    <row r="45" spans="11:22" ht="12">
      <c r="K45" s="1">
        <v>12</v>
      </c>
      <c r="L45" s="76" t="s">
        <v>111</v>
      </c>
      <c r="M45" s="77" t="s">
        <v>112</v>
      </c>
      <c r="N45" s="77"/>
      <c r="O45" s="78">
        <v>2900.68</v>
      </c>
      <c r="P45" s="9">
        <v>50</v>
      </c>
      <c r="Q45" s="5">
        <v>19.05</v>
      </c>
      <c r="R45" s="21"/>
      <c r="S45" s="5"/>
      <c r="T45" s="118"/>
      <c r="U45" s="118"/>
      <c r="V45" s="68"/>
    </row>
    <row r="46" spans="11:22" ht="12">
      <c r="K46" s="1">
        <v>13</v>
      </c>
      <c r="L46" s="76" t="s">
        <v>113</v>
      </c>
      <c r="M46" s="77" t="s">
        <v>114</v>
      </c>
      <c r="N46" s="77"/>
      <c r="O46" s="78">
        <v>3302</v>
      </c>
      <c r="P46" s="9">
        <v>33</v>
      </c>
      <c r="Q46" s="5">
        <v>19.05</v>
      </c>
      <c r="R46" s="10"/>
      <c r="S46" s="5"/>
      <c r="T46" s="118"/>
      <c r="U46" s="118"/>
      <c r="V46" s="68"/>
    </row>
    <row r="47" spans="11:22" ht="12">
      <c r="K47" s="1">
        <v>14</v>
      </c>
      <c r="L47" s="76" t="s">
        <v>115</v>
      </c>
      <c r="M47" s="76">
        <v>2005</v>
      </c>
      <c r="N47" s="76"/>
      <c r="O47" s="78">
        <v>2641.6</v>
      </c>
      <c r="P47" s="8">
        <v>24</v>
      </c>
      <c r="Q47" s="5">
        <v>19.05</v>
      </c>
      <c r="R47" s="21"/>
      <c r="S47" s="5"/>
      <c r="T47" s="118"/>
      <c r="U47" s="118"/>
      <c r="V47" s="68"/>
    </row>
    <row r="48" spans="10:22" ht="12">
      <c r="J48" s="79" t="s">
        <v>116</v>
      </c>
      <c r="K48" s="1">
        <v>15</v>
      </c>
      <c r="L48" s="76" t="s">
        <v>117</v>
      </c>
      <c r="M48" s="77" t="s">
        <v>118</v>
      </c>
      <c r="N48" s="77"/>
      <c r="O48" s="75">
        <v>2402.84</v>
      </c>
      <c r="P48" s="8">
        <v>32</v>
      </c>
      <c r="Q48" s="5">
        <v>19.05</v>
      </c>
      <c r="R48" s="21"/>
      <c r="S48" s="5"/>
      <c r="T48" s="118"/>
      <c r="U48" s="118"/>
      <c r="V48" s="68"/>
    </row>
    <row r="49" spans="11:22" ht="12">
      <c r="K49" s="1">
        <v>16</v>
      </c>
      <c r="L49" s="76" t="s">
        <v>119</v>
      </c>
      <c r="M49" s="77" t="s">
        <v>120</v>
      </c>
      <c r="N49" s="77"/>
      <c r="O49" s="75">
        <v>2641.6</v>
      </c>
      <c r="P49" s="8">
        <v>30</v>
      </c>
      <c r="Q49" s="5">
        <v>19.05</v>
      </c>
      <c r="R49" s="21"/>
      <c r="S49" s="5"/>
      <c r="T49" s="118"/>
      <c r="U49" s="118"/>
      <c r="V49" s="68"/>
    </row>
    <row r="50" spans="11:22" ht="24">
      <c r="K50" s="1">
        <v>17</v>
      </c>
      <c r="L50" s="76" t="s">
        <v>121</v>
      </c>
      <c r="M50" s="77" t="s">
        <v>122</v>
      </c>
      <c r="N50" s="77"/>
      <c r="O50" s="78">
        <v>3291.84</v>
      </c>
      <c r="P50" s="9">
        <v>45</v>
      </c>
      <c r="Q50" s="5">
        <v>24.66</v>
      </c>
      <c r="R50" s="10"/>
      <c r="S50" s="3"/>
      <c r="T50" s="69"/>
      <c r="U50" s="69"/>
      <c r="V50" s="68"/>
    </row>
    <row r="51" spans="11:22" ht="12">
      <c r="K51" s="1">
        <v>18</v>
      </c>
      <c r="L51" s="76" t="s">
        <v>123</v>
      </c>
      <c r="M51" s="77" t="s">
        <v>124</v>
      </c>
      <c r="N51" s="77"/>
      <c r="O51" s="80">
        <v>3418.84</v>
      </c>
      <c r="P51" s="9">
        <v>56</v>
      </c>
      <c r="Q51" s="5">
        <v>27.22</v>
      </c>
      <c r="R51" s="10"/>
      <c r="S51" s="3"/>
      <c r="T51" s="69"/>
      <c r="U51" s="69"/>
      <c r="V51" s="68"/>
    </row>
    <row r="52" spans="11:22" ht="24">
      <c r="K52" s="1">
        <v>19</v>
      </c>
      <c r="L52" s="76" t="s">
        <v>125</v>
      </c>
      <c r="M52" s="77" t="s">
        <v>126</v>
      </c>
      <c r="N52" s="77"/>
      <c r="O52" s="75">
        <v>3401.06</v>
      </c>
      <c r="P52" s="8">
        <v>56</v>
      </c>
      <c r="Q52" s="5">
        <v>27.22</v>
      </c>
      <c r="R52" s="21"/>
      <c r="S52" s="5"/>
      <c r="T52" s="118"/>
      <c r="U52" s="118"/>
      <c r="V52" s="68"/>
    </row>
    <row r="53" spans="11:22" ht="12">
      <c r="K53" s="1">
        <v>20</v>
      </c>
      <c r="L53" s="76" t="s">
        <v>127</v>
      </c>
      <c r="M53" s="77" t="s">
        <v>128</v>
      </c>
      <c r="N53" s="77"/>
      <c r="O53" s="75">
        <v>2641.6</v>
      </c>
      <c r="P53" s="8">
        <v>46</v>
      </c>
      <c r="Q53" s="5">
        <v>24.66</v>
      </c>
      <c r="R53" s="21"/>
      <c r="S53" s="5"/>
      <c r="T53" s="118"/>
      <c r="U53" s="118"/>
      <c r="V53" s="68"/>
    </row>
    <row r="54" spans="11:22" ht="12">
      <c r="K54" s="1">
        <v>21</v>
      </c>
      <c r="L54" s="76" t="s">
        <v>129</v>
      </c>
      <c r="M54" s="77" t="s">
        <v>130</v>
      </c>
      <c r="N54" s="77"/>
      <c r="O54" s="75">
        <v>2644.14</v>
      </c>
      <c r="P54" s="8">
        <v>66</v>
      </c>
      <c r="Q54" s="5">
        <v>27.22</v>
      </c>
      <c r="R54" s="21"/>
      <c r="S54" s="5"/>
      <c r="T54" s="118"/>
      <c r="U54" s="118"/>
      <c r="V54" s="68"/>
    </row>
    <row r="55" spans="11:22" ht="12">
      <c r="K55" s="1">
        <v>22</v>
      </c>
      <c r="L55" s="76" t="s">
        <v>131</v>
      </c>
      <c r="M55" s="77" t="s">
        <v>132</v>
      </c>
      <c r="N55" s="77"/>
      <c r="O55" s="75">
        <v>3632.2</v>
      </c>
      <c r="P55" s="8">
        <v>74</v>
      </c>
      <c r="Q55" s="5">
        <v>27.22</v>
      </c>
      <c r="R55" s="21"/>
      <c r="S55" s="5"/>
      <c r="T55" s="118"/>
      <c r="U55" s="118"/>
      <c r="V55" s="68"/>
    </row>
    <row r="56" spans="11:22" ht="12">
      <c r="K56" s="1">
        <v>23</v>
      </c>
      <c r="L56" s="76" t="s">
        <v>133</v>
      </c>
      <c r="M56" s="77" t="s">
        <v>134</v>
      </c>
      <c r="N56" s="77"/>
      <c r="O56" s="75">
        <v>3568.7</v>
      </c>
      <c r="P56" s="8">
        <v>70</v>
      </c>
      <c r="Q56" s="5">
        <v>27.22</v>
      </c>
      <c r="R56" s="21"/>
      <c r="S56" s="5"/>
      <c r="T56" s="118"/>
      <c r="U56" s="118"/>
      <c r="V56" s="68"/>
    </row>
    <row r="57" spans="11:22" ht="12">
      <c r="K57" s="1">
        <v>24</v>
      </c>
      <c r="L57" s="76" t="s">
        <v>135</v>
      </c>
      <c r="M57" s="77" t="s">
        <v>136</v>
      </c>
      <c r="N57" s="77"/>
      <c r="O57" s="75">
        <v>3764.28</v>
      </c>
      <c r="P57" s="8">
        <v>60</v>
      </c>
      <c r="Q57" s="5">
        <v>27.22</v>
      </c>
      <c r="R57" s="21"/>
      <c r="S57" s="5"/>
      <c r="T57" s="118"/>
      <c r="U57" s="118"/>
      <c r="V57" s="68"/>
    </row>
    <row r="58" spans="11:22" ht="12">
      <c r="K58" s="1">
        <v>25</v>
      </c>
      <c r="L58" s="76" t="s">
        <v>137</v>
      </c>
      <c r="M58" s="77" t="s">
        <v>138</v>
      </c>
      <c r="N58" s="77"/>
      <c r="O58" s="75">
        <v>3764.28</v>
      </c>
      <c r="P58" s="8">
        <v>60</v>
      </c>
      <c r="Q58" s="5">
        <v>27.22</v>
      </c>
      <c r="R58" s="21"/>
      <c r="S58" s="5"/>
      <c r="T58" s="118"/>
      <c r="U58" s="118"/>
      <c r="V58" s="68"/>
    </row>
    <row r="59" spans="11:22" ht="12">
      <c r="K59" s="1">
        <v>26</v>
      </c>
      <c r="L59" s="76" t="s">
        <v>139</v>
      </c>
      <c r="M59" s="77" t="s">
        <v>140</v>
      </c>
      <c r="N59" s="77"/>
      <c r="O59" s="75">
        <v>3733.8</v>
      </c>
      <c r="P59" s="8">
        <v>75</v>
      </c>
      <c r="Q59" s="5">
        <v>27.22</v>
      </c>
      <c r="R59" s="21"/>
      <c r="S59" s="5"/>
      <c r="T59" s="118"/>
      <c r="U59" s="118"/>
      <c r="V59" s="68"/>
    </row>
    <row r="60" spans="11:22" ht="24">
      <c r="K60" s="1">
        <v>27</v>
      </c>
      <c r="L60" s="76" t="s">
        <v>141</v>
      </c>
      <c r="M60" s="77" t="s">
        <v>142</v>
      </c>
      <c r="N60" s="77"/>
      <c r="O60" s="75">
        <v>3733.8</v>
      </c>
      <c r="P60" s="8">
        <v>75</v>
      </c>
      <c r="Q60" s="5">
        <v>27.22</v>
      </c>
      <c r="R60" s="21"/>
      <c r="S60" s="5"/>
      <c r="T60" s="118"/>
      <c r="U60" s="118"/>
      <c r="V60" s="68"/>
    </row>
    <row r="61" spans="11:22" ht="12">
      <c r="K61" s="1">
        <v>28</v>
      </c>
      <c r="L61" s="76" t="s">
        <v>143</v>
      </c>
      <c r="M61" s="77" t="s">
        <v>144</v>
      </c>
      <c r="N61" s="77"/>
      <c r="O61" s="75">
        <v>3728.72</v>
      </c>
      <c r="P61" s="8">
        <v>80</v>
      </c>
      <c r="Q61" s="5">
        <v>27.22</v>
      </c>
      <c r="R61" s="21"/>
      <c r="S61" s="5"/>
      <c r="T61" s="118"/>
      <c r="U61" s="118"/>
      <c r="V61" s="68"/>
    </row>
    <row r="62" spans="11:22" ht="12">
      <c r="K62" s="1">
        <v>29</v>
      </c>
      <c r="L62" s="76" t="s">
        <v>145</v>
      </c>
      <c r="M62" s="77" t="s">
        <v>146</v>
      </c>
      <c r="N62" s="77"/>
      <c r="O62" s="75">
        <v>3893.82</v>
      </c>
      <c r="P62" s="8">
        <v>74</v>
      </c>
      <c r="Q62" s="5">
        <v>27.22</v>
      </c>
      <c r="R62" s="21"/>
      <c r="S62" s="5"/>
      <c r="T62" s="118"/>
      <c r="U62" s="118"/>
      <c r="V62" s="68"/>
    </row>
    <row r="63" spans="11:22" ht="24">
      <c r="K63" s="1">
        <v>30</v>
      </c>
      <c r="L63" s="76" t="s">
        <v>147</v>
      </c>
      <c r="M63" s="77" t="s">
        <v>148</v>
      </c>
      <c r="N63" s="77"/>
      <c r="O63" s="75">
        <v>3893.82</v>
      </c>
      <c r="P63" s="8">
        <v>74</v>
      </c>
      <c r="Q63" s="5">
        <v>27.22</v>
      </c>
      <c r="R63" s="21"/>
      <c r="S63" s="5"/>
      <c r="T63" s="118"/>
      <c r="U63" s="118"/>
      <c r="V63" s="68"/>
    </row>
    <row r="64" spans="11:22" ht="12">
      <c r="K64" s="1">
        <v>31</v>
      </c>
      <c r="L64" s="76" t="s">
        <v>149</v>
      </c>
      <c r="M64" s="77" t="s">
        <v>150</v>
      </c>
      <c r="N64" s="77"/>
      <c r="O64" s="75">
        <v>3911.6</v>
      </c>
      <c r="P64" s="8">
        <v>71</v>
      </c>
      <c r="Q64" s="5">
        <v>27.22</v>
      </c>
      <c r="R64" s="21"/>
      <c r="S64" s="5"/>
      <c r="T64" s="118"/>
      <c r="U64" s="118"/>
      <c r="V64" s="68"/>
    </row>
    <row r="65" spans="11:22" ht="12">
      <c r="K65" s="1">
        <v>32</v>
      </c>
      <c r="L65" s="76" t="s">
        <v>151</v>
      </c>
      <c r="M65" s="77" t="s">
        <v>152</v>
      </c>
      <c r="N65" s="77"/>
      <c r="O65" s="75">
        <v>3934.46</v>
      </c>
      <c r="P65" s="8">
        <v>109</v>
      </c>
      <c r="Q65" s="5">
        <v>27.22</v>
      </c>
      <c r="R65" s="21"/>
      <c r="S65" s="5"/>
      <c r="T65" s="118"/>
      <c r="U65" s="118"/>
      <c r="V65" s="67"/>
    </row>
    <row r="66" spans="11:22" ht="12">
      <c r="K66" s="1">
        <v>33</v>
      </c>
      <c r="L66" s="76" t="s">
        <v>151</v>
      </c>
      <c r="M66" s="77" t="s">
        <v>153</v>
      </c>
      <c r="N66" s="77"/>
      <c r="O66" s="81">
        <v>3934.46</v>
      </c>
      <c r="P66" s="8">
        <v>109</v>
      </c>
      <c r="Q66" s="5">
        <v>27.22</v>
      </c>
      <c r="R66" s="21"/>
      <c r="S66" s="5"/>
      <c r="T66" s="118"/>
      <c r="U66" s="118"/>
      <c r="V66" s="67"/>
    </row>
    <row r="67" spans="11:22" ht="12">
      <c r="K67" s="1">
        <v>34</v>
      </c>
      <c r="L67" s="76" t="s">
        <v>154</v>
      </c>
      <c r="M67" s="77" t="s">
        <v>155</v>
      </c>
      <c r="N67" s="77"/>
      <c r="O67" s="75">
        <v>3970.02</v>
      </c>
      <c r="P67" s="8">
        <v>97</v>
      </c>
      <c r="Q67" s="5">
        <v>27.22</v>
      </c>
      <c r="R67" s="21"/>
      <c r="S67" s="5"/>
      <c r="T67" s="118"/>
      <c r="U67" s="118"/>
      <c r="V67" s="67"/>
    </row>
    <row r="68" spans="11:22" ht="12">
      <c r="K68" s="1">
        <v>35</v>
      </c>
      <c r="L68" s="76" t="s">
        <v>156</v>
      </c>
      <c r="M68" s="77" t="s">
        <v>157</v>
      </c>
      <c r="N68" s="77"/>
      <c r="O68" s="75">
        <v>3873.5</v>
      </c>
      <c r="P68" s="8">
        <v>123</v>
      </c>
      <c r="Q68" s="5">
        <v>27.22</v>
      </c>
      <c r="R68" s="21"/>
      <c r="S68" s="5"/>
      <c r="T68" s="118"/>
      <c r="U68" s="118"/>
      <c r="V68" s="67"/>
    </row>
    <row r="69" spans="11:22" ht="12">
      <c r="K69" s="1">
        <v>36</v>
      </c>
      <c r="L69" s="76" t="s">
        <v>156</v>
      </c>
      <c r="M69" s="77" t="s">
        <v>158</v>
      </c>
      <c r="N69" s="77"/>
      <c r="O69" s="75">
        <v>3873.5</v>
      </c>
      <c r="P69" s="8">
        <v>123</v>
      </c>
      <c r="Q69" s="5">
        <v>27.22</v>
      </c>
      <c r="R69" s="21"/>
      <c r="S69" s="5"/>
      <c r="T69" s="118"/>
      <c r="U69" s="118"/>
      <c r="V69" s="69"/>
    </row>
    <row r="70" spans="11:22" ht="12">
      <c r="K70" s="1">
        <v>37</v>
      </c>
      <c r="L70" s="76" t="s">
        <v>159</v>
      </c>
      <c r="M70" s="77" t="s">
        <v>160</v>
      </c>
      <c r="N70" s="77"/>
      <c r="O70" s="75">
        <v>5001.26</v>
      </c>
      <c r="P70" s="8">
        <v>246</v>
      </c>
      <c r="Q70" s="5">
        <v>44.91</v>
      </c>
      <c r="R70" s="21"/>
      <c r="S70" s="5"/>
      <c r="T70" s="118"/>
      <c r="U70" s="118"/>
      <c r="V70" s="69"/>
    </row>
    <row r="71" spans="11:22" ht="12">
      <c r="K71" s="1">
        <v>38</v>
      </c>
      <c r="L71" s="76" t="s">
        <v>161</v>
      </c>
      <c r="M71" s="76"/>
      <c r="N71" s="76"/>
      <c r="O71" s="82">
        <v>3837.94</v>
      </c>
      <c r="P71" s="2">
        <v>65</v>
      </c>
      <c r="Q71" s="5">
        <v>27.22</v>
      </c>
      <c r="R71" s="21"/>
      <c r="S71" s="85"/>
      <c r="T71" s="85"/>
      <c r="U71" s="85"/>
      <c r="V71" s="69"/>
    </row>
    <row r="72" spans="11:22" ht="12">
      <c r="K72" s="1">
        <v>39</v>
      </c>
      <c r="L72" s="76" t="s">
        <v>162</v>
      </c>
      <c r="M72" s="77" t="s">
        <v>163</v>
      </c>
      <c r="N72" s="77"/>
      <c r="O72" s="75">
        <v>4142.74</v>
      </c>
      <c r="P72" s="8">
        <v>114</v>
      </c>
      <c r="Q72" s="5">
        <v>27.22</v>
      </c>
      <c r="R72" s="21"/>
      <c r="S72" s="5"/>
      <c r="T72" s="118"/>
      <c r="U72" s="118"/>
      <c r="V72" s="69"/>
    </row>
    <row r="73" spans="11:22" ht="12">
      <c r="K73" s="1">
        <v>40</v>
      </c>
      <c r="L73" s="76" t="s">
        <v>164</v>
      </c>
      <c r="M73" s="77" t="s">
        <v>165</v>
      </c>
      <c r="N73" s="77"/>
      <c r="O73" s="75">
        <v>4284.98</v>
      </c>
      <c r="P73" s="8">
        <v>112</v>
      </c>
      <c r="Q73" s="5">
        <v>27.22</v>
      </c>
      <c r="R73" s="21"/>
      <c r="S73" s="5"/>
      <c r="T73" s="118"/>
      <c r="U73" s="118"/>
      <c r="V73" s="68"/>
    </row>
    <row r="74" spans="11:22" ht="12">
      <c r="K74" s="1">
        <v>41</v>
      </c>
      <c r="L74" s="76" t="s">
        <v>166</v>
      </c>
      <c r="M74" s="76">
        <v>2010</v>
      </c>
      <c r="N74" s="76"/>
      <c r="O74" s="83">
        <v>3632.2</v>
      </c>
      <c r="P74" s="84">
        <v>46</v>
      </c>
      <c r="Q74" s="5">
        <v>24.66</v>
      </c>
      <c r="R74" s="11"/>
      <c r="S74" s="4"/>
      <c r="T74" s="119"/>
      <c r="U74" s="119"/>
      <c r="V74" s="69"/>
    </row>
    <row r="75" spans="11:22" ht="12">
      <c r="K75" s="1">
        <v>42</v>
      </c>
      <c r="L75" s="76" t="s">
        <v>167</v>
      </c>
      <c r="M75" s="76">
        <v>2040</v>
      </c>
      <c r="N75" s="76"/>
      <c r="O75" s="80">
        <v>3776.98</v>
      </c>
      <c r="P75" s="9">
        <v>54</v>
      </c>
      <c r="Q75" s="5">
        <v>27.22</v>
      </c>
      <c r="R75" s="12"/>
      <c r="S75" s="5"/>
      <c r="T75" s="118"/>
      <c r="U75" s="118"/>
      <c r="V75" s="69"/>
    </row>
    <row r="76" spans="10:22" ht="12">
      <c r="J76" s="210" t="s">
        <v>168</v>
      </c>
      <c r="K76" s="1">
        <v>43</v>
      </c>
      <c r="L76" s="76" t="s">
        <v>169</v>
      </c>
      <c r="M76" s="77" t="s">
        <v>170</v>
      </c>
      <c r="N76" s="77"/>
      <c r="O76" s="80">
        <v>3934.46</v>
      </c>
      <c r="P76" s="9">
        <v>109</v>
      </c>
      <c r="Q76" s="5">
        <v>27.22</v>
      </c>
      <c r="R76" s="10"/>
      <c r="S76" s="5"/>
      <c r="T76" s="118"/>
      <c r="U76" s="118"/>
      <c r="V76" s="69"/>
    </row>
    <row r="77" spans="10:22" ht="12">
      <c r="J77" s="211"/>
      <c r="K77" s="1">
        <v>44</v>
      </c>
      <c r="L77" s="76" t="s">
        <v>171</v>
      </c>
      <c r="M77" s="77" t="s">
        <v>172</v>
      </c>
      <c r="N77" s="77"/>
      <c r="O77" s="80">
        <v>3911.6</v>
      </c>
      <c r="P77" s="9">
        <v>74</v>
      </c>
      <c r="Q77" s="5">
        <v>27.22</v>
      </c>
      <c r="R77" s="10"/>
      <c r="S77" s="5"/>
      <c r="T77" s="118"/>
      <c r="U77" s="118"/>
      <c r="V77" s="69"/>
    </row>
    <row r="78" spans="10:22" ht="36">
      <c r="J78" s="79" t="s">
        <v>173</v>
      </c>
      <c r="K78" s="1">
        <v>45</v>
      </c>
      <c r="L78" s="76" t="s">
        <v>174</v>
      </c>
      <c r="M78" s="77" t="s">
        <v>175</v>
      </c>
      <c r="N78" s="77"/>
      <c r="O78" s="80">
        <v>4089.4</v>
      </c>
      <c r="P78" s="9">
        <v>100</v>
      </c>
      <c r="Q78" s="5">
        <v>27.22</v>
      </c>
      <c r="R78" s="10"/>
      <c r="S78" s="3"/>
      <c r="T78" s="69"/>
      <c r="U78" s="69"/>
      <c r="V78" s="68"/>
    </row>
    <row r="79" spans="10:22" ht="12">
      <c r="J79" s="210" t="s">
        <v>176</v>
      </c>
      <c r="K79" s="1">
        <v>46</v>
      </c>
      <c r="L79" s="76" t="s">
        <v>177</v>
      </c>
      <c r="M79" s="77" t="s">
        <v>178</v>
      </c>
      <c r="N79" s="77"/>
      <c r="O79" s="80">
        <v>4244.34</v>
      </c>
      <c r="P79" s="9">
        <v>83</v>
      </c>
      <c r="Q79" s="5">
        <v>27.22</v>
      </c>
      <c r="R79" s="10"/>
      <c r="S79" s="5"/>
      <c r="T79" s="118"/>
      <c r="U79" s="118"/>
      <c r="V79" s="69"/>
    </row>
    <row r="80" spans="10:22" ht="12">
      <c r="J80" s="211"/>
      <c r="K80" s="1">
        <v>47</v>
      </c>
      <c r="L80" s="76" t="s">
        <v>179</v>
      </c>
      <c r="M80" s="77" t="s">
        <v>180</v>
      </c>
      <c r="N80" s="77"/>
      <c r="O80" s="80">
        <v>4264.66</v>
      </c>
      <c r="P80" s="9">
        <v>110</v>
      </c>
      <c r="Q80" s="5">
        <v>27.22</v>
      </c>
      <c r="R80" s="10"/>
      <c r="S80" s="5"/>
      <c r="T80" s="118"/>
      <c r="U80" s="118"/>
      <c r="V80" s="69"/>
    </row>
    <row r="81" spans="10:22" ht="12">
      <c r="J81" s="211"/>
      <c r="K81" s="1">
        <v>48</v>
      </c>
      <c r="L81" s="76" t="s">
        <v>181</v>
      </c>
      <c r="M81" s="77" t="s">
        <v>182</v>
      </c>
      <c r="N81" s="77"/>
      <c r="O81" s="80">
        <v>4241.8</v>
      </c>
      <c r="P81" s="9">
        <v>102</v>
      </c>
      <c r="Q81" s="5">
        <v>27.22</v>
      </c>
      <c r="R81" s="10"/>
      <c r="S81" s="5"/>
      <c r="T81" s="118"/>
      <c r="U81" s="118"/>
      <c r="V81" s="69"/>
    </row>
    <row r="82" spans="10:22" ht="12">
      <c r="J82" s="211"/>
      <c r="K82" s="1">
        <v>49</v>
      </c>
      <c r="L82" s="76" t="s">
        <v>183</v>
      </c>
      <c r="M82" s="77" t="s">
        <v>184</v>
      </c>
      <c r="N82" s="77"/>
      <c r="O82" s="80">
        <v>4241.8</v>
      </c>
      <c r="P82" s="9">
        <v>114</v>
      </c>
      <c r="Q82" s="5">
        <v>27.22</v>
      </c>
      <c r="R82" s="10"/>
      <c r="S82" s="5"/>
      <c r="T82" s="118"/>
      <c r="U82" s="118"/>
      <c r="V82" s="69"/>
    </row>
    <row r="83" spans="10:22" ht="12">
      <c r="J83" s="211"/>
      <c r="K83" s="1">
        <v>50</v>
      </c>
      <c r="L83" s="76" t="s">
        <v>164</v>
      </c>
      <c r="M83" s="77" t="s">
        <v>165</v>
      </c>
      <c r="N83" s="77"/>
      <c r="O83" s="80">
        <v>4239.26</v>
      </c>
      <c r="P83" s="9">
        <v>112</v>
      </c>
      <c r="Q83" s="5">
        <v>27.22</v>
      </c>
      <c r="R83" s="10"/>
      <c r="S83" s="5"/>
      <c r="T83" s="118"/>
      <c r="U83" s="118"/>
      <c r="V83" s="69"/>
    </row>
    <row r="84" spans="10:22" ht="12">
      <c r="J84" s="211"/>
      <c r="K84" s="1">
        <v>51</v>
      </c>
      <c r="L84" s="76" t="s">
        <v>185</v>
      </c>
      <c r="M84" s="77" t="s">
        <v>186</v>
      </c>
      <c r="N84" s="77"/>
      <c r="O84" s="80">
        <v>4239.26</v>
      </c>
      <c r="P84" s="9">
        <v>82</v>
      </c>
      <c r="Q84" s="5">
        <v>27.22</v>
      </c>
      <c r="R84" s="10"/>
      <c r="S84" s="5"/>
      <c r="T84" s="118"/>
      <c r="U84" s="118"/>
      <c r="V84" s="69"/>
    </row>
    <row r="85" spans="10:22" ht="12">
      <c r="J85" s="211"/>
      <c r="K85" s="1">
        <v>52</v>
      </c>
      <c r="L85" s="76" t="s">
        <v>187</v>
      </c>
      <c r="M85" s="77" t="s">
        <v>188</v>
      </c>
      <c r="N85" s="77"/>
      <c r="O85" s="80">
        <v>4224.02</v>
      </c>
      <c r="P85" s="9">
        <v>137</v>
      </c>
      <c r="Q85" s="5">
        <v>34.47</v>
      </c>
      <c r="R85" s="10"/>
      <c r="S85" s="5"/>
      <c r="T85" s="118"/>
      <c r="U85" s="118"/>
      <c r="V85" s="69"/>
    </row>
    <row r="86" spans="10:22" ht="12">
      <c r="J86" s="211"/>
      <c r="K86" s="1">
        <v>53</v>
      </c>
      <c r="L86" s="76" t="s">
        <v>189</v>
      </c>
      <c r="M86" s="77" t="s">
        <v>190</v>
      </c>
      <c r="N86" s="77"/>
      <c r="O86" s="80">
        <v>4239.26</v>
      </c>
      <c r="P86" s="9">
        <v>140</v>
      </c>
      <c r="Q86" s="5">
        <v>34.47</v>
      </c>
      <c r="R86" s="10"/>
      <c r="S86" s="5"/>
      <c r="T86" s="118"/>
      <c r="U86" s="118"/>
      <c r="V86" s="69"/>
    </row>
    <row r="87" spans="10:22" ht="12">
      <c r="J87" s="215" t="s">
        <v>191</v>
      </c>
      <c r="K87" s="1">
        <v>54</v>
      </c>
      <c r="L87" s="76" t="s">
        <v>192</v>
      </c>
      <c r="M87" s="77" t="s">
        <v>193</v>
      </c>
      <c r="N87" s="77"/>
      <c r="O87" s="80">
        <v>4495.8</v>
      </c>
      <c r="P87" s="9">
        <v>71</v>
      </c>
      <c r="Q87" s="5">
        <v>27.22</v>
      </c>
      <c r="R87" s="13"/>
      <c r="S87" s="5"/>
      <c r="T87" s="118"/>
      <c r="U87" s="118"/>
      <c r="V87" s="69"/>
    </row>
    <row r="88" spans="10:22" ht="12">
      <c r="J88" s="216"/>
      <c r="K88" s="1">
        <v>55</v>
      </c>
      <c r="L88" s="76" t="s">
        <v>194</v>
      </c>
      <c r="M88" s="77" t="s">
        <v>195</v>
      </c>
      <c r="N88" s="77"/>
      <c r="O88" s="80">
        <v>4495.8</v>
      </c>
      <c r="P88" s="9">
        <v>93</v>
      </c>
      <c r="Q88" s="5">
        <v>27.22</v>
      </c>
      <c r="R88" s="13"/>
      <c r="S88" s="5"/>
      <c r="T88" s="118"/>
      <c r="U88" s="118"/>
      <c r="V88" s="69"/>
    </row>
    <row r="89" spans="10:22" ht="12">
      <c r="J89" s="216"/>
      <c r="K89" s="1">
        <v>56</v>
      </c>
      <c r="L89" s="76" t="s">
        <v>196</v>
      </c>
      <c r="M89" s="77" t="s">
        <v>197</v>
      </c>
      <c r="N89" s="77"/>
      <c r="O89" s="80">
        <v>4546.6</v>
      </c>
      <c r="P89" s="9">
        <v>112</v>
      </c>
      <c r="Q89" s="5">
        <v>34.47</v>
      </c>
      <c r="R89" s="13"/>
      <c r="S89" s="5"/>
      <c r="T89" s="118"/>
      <c r="U89" s="118"/>
      <c r="V89" s="69"/>
    </row>
    <row r="90" spans="10:22" ht="12">
      <c r="J90" s="216"/>
      <c r="K90" s="1">
        <v>57</v>
      </c>
      <c r="L90" s="76" t="s">
        <v>198</v>
      </c>
      <c r="M90" s="77" t="s">
        <v>199</v>
      </c>
      <c r="N90" s="77"/>
      <c r="O90" s="80">
        <v>4546.6</v>
      </c>
      <c r="P90" s="9">
        <v>112</v>
      </c>
      <c r="Q90" s="5">
        <v>34.47</v>
      </c>
      <c r="R90" s="13"/>
      <c r="S90" s="5"/>
      <c r="T90" s="118"/>
      <c r="U90" s="118"/>
      <c r="V90" s="69"/>
    </row>
    <row r="91" spans="10:22" ht="12">
      <c r="J91" s="216"/>
      <c r="K91" s="1">
        <v>58</v>
      </c>
      <c r="L91" s="76" t="s">
        <v>200</v>
      </c>
      <c r="M91" s="77" t="s">
        <v>201</v>
      </c>
      <c r="N91" s="77"/>
      <c r="O91" s="80">
        <v>4419.6</v>
      </c>
      <c r="P91" s="9">
        <v>132</v>
      </c>
      <c r="Q91" s="5">
        <v>34.47</v>
      </c>
      <c r="R91" s="13"/>
      <c r="S91" s="5"/>
      <c r="T91" s="118"/>
      <c r="U91" s="118"/>
      <c r="V91" s="71"/>
    </row>
    <row r="92" spans="10:22" ht="12">
      <c r="J92" s="216"/>
      <c r="K92" s="1">
        <v>59</v>
      </c>
      <c r="L92" s="76" t="s">
        <v>202</v>
      </c>
      <c r="M92" s="77" t="s">
        <v>203</v>
      </c>
      <c r="N92" s="77"/>
      <c r="O92" s="80">
        <v>4368.8</v>
      </c>
      <c r="P92" s="9">
        <v>124</v>
      </c>
      <c r="Q92" s="5">
        <v>34.47</v>
      </c>
      <c r="R92" s="13"/>
      <c r="S92" s="5"/>
      <c r="T92" s="118"/>
      <c r="U92" s="118"/>
      <c r="V92" s="71"/>
    </row>
    <row r="93" spans="10:22" ht="12">
      <c r="J93" s="216"/>
      <c r="K93" s="1">
        <v>60</v>
      </c>
      <c r="L93" s="76" t="s">
        <v>204</v>
      </c>
      <c r="M93" s="77" t="s">
        <v>205</v>
      </c>
      <c r="N93" s="77"/>
      <c r="O93" s="80">
        <v>4495.8</v>
      </c>
      <c r="P93" s="9">
        <v>152</v>
      </c>
      <c r="Q93" s="5">
        <v>44.91</v>
      </c>
      <c r="R93" s="13"/>
      <c r="S93" s="5"/>
      <c r="T93" s="118"/>
      <c r="U93" s="118"/>
      <c r="V93" s="71"/>
    </row>
    <row r="94" spans="10:22" ht="12">
      <c r="J94" s="216"/>
      <c r="K94" s="1">
        <v>61</v>
      </c>
      <c r="L94" s="76" t="s">
        <v>206</v>
      </c>
      <c r="M94" s="77" t="s">
        <v>207</v>
      </c>
      <c r="N94" s="77"/>
      <c r="O94" s="80">
        <v>4394.2</v>
      </c>
      <c r="P94" s="9">
        <v>132</v>
      </c>
      <c r="Q94" s="5">
        <v>34.47</v>
      </c>
      <c r="R94" s="13"/>
      <c r="S94" s="5"/>
      <c r="T94" s="118"/>
      <c r="U94" s="118"/>
      <c r="V94" s="69"/>
    </row>
    <row r="95" spans="10:22" ht="12">
      <c r="J95" s="216"/>
      <c r="K95" s="1">
        <v>62</v>
      </c>
      <c r="L95" s="76" t="s">
        <v>208</v>
      </c>
      <c r="M95" s="77" t="s">
        <v>209</v>
      </c>
      <c r="N95" s="77"/>
      <c r="O95" s="80">
        <v>4546.6</v>
      </c>
      <c r="P95" s="9">
        <v>142</v>
      </c>
      <c r="Q95" s="5">
        <v>34.47</v>
      </c>
      <c r="R95" s="13"/>
      <c r="S95" s="5"/>
      <c r="T95" s="118"/>
      <c r="U95" s="118"/>
      <c r="V95" s="69"/>
    </row>
    <row r="96" spans="10:22" ht="12">
      <c r="J96" s="216"/>
      <c r="K96" s="1">
        <v>63</v>
      </c>
      <c r="L96" s="76" t="s">
        <v>210</v>
      </c>
      <c r="M96" s="77" t="s">
        <v>211</v>
      </c>
      <c r="N96" s="77"/>
      <c r="O96" s="80">
        <v>4414.52</v>
      </c>
      <c r="P96" s="9">
        <v>176</v>
      </c>
      <c r="Q96" s="5">
        <v>44.91</v>
      </c>
      <c r="R96" s="13"/>
      <c r="S96" s="5"/>
      <c r="T96" s="118"/>
      <c r="U96" s="118"/>
      <c r="V96" s="67"/>
    </row>
    <row r="97" spans="10:22" ht="12">
      <c r="J97" s="217"/>
      <c r="K97" s="1">
        <v>64</v>
      </c>
      <c r="L97" s="76" t="s">
        <v>210</v>
      </c>
      <c r="M97" s="77" t="s">
        <v>212</v>
      </c>
      <c r="N97" s="77"/>
      <c r="O97" s="75">
        <v>4414.52</v>
      </c>
      <c r="P97" s="84">
        <v>176</v>
      </c>
      <c r="Q97" s="5">
        <v>44.91</v>
      </c>
      <c r="R97" s="11"/>
      <c r="S97" s="4"/>
      <c r="T97" s="119"/>
      <c r="U97" s="119"/>
      <c r="V97" s="70"/>
    </row>
    <row r="98" spans="10:22" ht="12">
      <c r="J98" s="213" t="s">
        <v>213</v>
      </c>
      <c r="K98" s="1">
        <v>65</v>
      </c>
      <c r="L98" s="76" t="s">
        <v>214</v>
      </c>
      <c r="M98" s="77" t="s">
        <v>215</v>
      </c>
      <c r="N98" s="77"/>
      <c r="O98" s="80">
        <v>5252.72</v>
      </c>
      <c r="P98" s="9">
        <v>113</v>
      </c>
      <c r="Q98" s="5">
        <v>34.47</v>
      </c>
      <c r="R98" s="10"/>
      <c r="S98" s="5"/>
      <c r="T98" s="118"/>
      <c r="U98" s="118"/>
      <c r="V98" s="70"/>
    </row>
    <row r="99" spans="10:22" ht="12">
      <c r="J99" s="214"/>
      <c r="K99" s="1">
        <v>66</v>
      </c>
      <c r="L99" s="76" t="s">
        <v>216</v>
      </c>
      <c r="M99" s="77" t="s">
        <v>217</v>
      </c>
      <c r="N99" s="77"/>
      <c r="O99" s="80">
        <v>5410.2</v>
      </c>
      <c r="P99" s="9">
        <v>122</v>
      </c>
      <c r="Q99" s="5">
        <v>34.47</v>
      </c>
      <c r="R99" s="10"/>
      <c r="S99" s="5"/>
      <c r="T99" s="118"/>
      <c r="U99" s="118"/>
      <c r="V99" s="67"/>
    </row>
    <row r="100" spans="10:22" ht="36">
      <c r="J100" s="79" t="s">
        <v>218</v>
      </c>
      <c r="K100" s="1">
        <v>67</v>
      </c>
      <c r="L100" s="76" t="s">
        <v>219</v>
      </c>
      <c r="M100" s="77" t="s">
        <v>220</v>
      </c>
      <c r="N100" s="77"/>
      <c r="O100" s="78">
        <v>5562.6</v>
      </c>
      <c r="P100" s="84">
        <v>119</v>
      </c>
      <c r="Q100" s="5">
        <v>27.22</v>
      </c>
      <c r="R100" s="11"/>
      <c r="S100" s="4"/>
      <c r="T100" s="119"/>
      <c r="U100" s="119"/>
      <c r="V100" s="68"/>
    </row>
    <row r="101" spans="22:39" s="85" customFormat="1" ht="60" customHeight="1">
      <c r="V101" s="89" t="s">
        <v>454</v>
      </c>
      <c r="W101" s="33"/>
      <c r="X101" s="90"/>
      <c r="Y101" s="90"/>
      <c r="Z101" s="93" t="s">
        <v>360</v>
      </c>
      <c r="AA101" s="93"/>
      <c r="AB101" s="93" t="s">
        <v>360</v>
      </c>
      <c r="AC101" s="93"/>
      <c r="AD101" s="94"/>
      <c r="AE101" s="91"/>
      <c r="AF101" s="88" t="s">
        <v>14</v>
      </c>
      <c r="AG101" s="89" t="s">
        <v>443</v>
      </c>
      <c r="AH101" s="120"/>
      <c r="AI101" s="120"/>
      <c r="AJ101" s="120"/>
      <c r="AK101" s="120"/>
      <c r="AL101" s="120"/>
      <c r="AM101" s="120"/>
    </row>
    <row r="102" spans="22:39" s="85" customFormat="1" ht="56.25" customHeight="1">
      <c r="V102" s="101" t="s">
        <v>366</v>
      </c>
      <c r="W102" s="29" t="s">
        <v>23</v>
      </c>
      <c r="X102" s="29" t="s">
        <v>22</v>
      </c>
      <c r="Y102" s="100" t="s">
        <v>361</v>
      </c>
      <c r="Z102" s="100" t="s">
        <v>363</v>
      </c>
      <c r="AA102" s="100" t="s">
        <v>362</v>
      </c>
      <c r="AB102" s="100" t="s">
        <v>364</v>
      </c>
      <c r="AC102" s="100" t="s">
        <v>10</v>
      </c>
      <c r="AD102" s="100" t="s">
        <v>365</v>
      </c>
      <c r="AE102" s="100" t="s">
        <v>37</v>
      </c>
      <c r="AF102" s="100" t="s">
        <v>367</v>
      </c>
      <c r="AG102" s="101" t="s">
        <v>38</v>
      </c>
      <c r="AH102" s="121"/>
      <c r="AI102" s="121"/>
      <c r="AJ102" s="121"/>
      <c r="AK102" s="121"/>
      <c r="AL102" s="121"/>
      <c r="AM102" s="121"/>
    </row>
    <row r="103" spans="21:39" s="85" customFormat="1" ht="12">
      <c r="U103" s="85">
        <v>1</v>
      </c>
      <c r="V103" s="87" t="s">
        <v>221</v>
      </c>
      <c r="W103" s="33">
        <v>1020</v>
      </c>
      <c r="X103" s="33"/>
      <c r="Y103" s="3">
        <f aca="true" t="shared" si="0" ref="Y103:Y108">Z103*25.4</f>
        <v>820.4199999999998</v>
      </c>
      <c r="Z103" s="31">
        <v>32.3</v>
      </c>
      <c r="AA103" s="31">
        <f>AB103*25.4</f>
        <v>5232.4</v>
      </c>
      <c r="AB103" s="33">
        <v>206</v>
      </c>
      <c r="AC103" s="33">
        <f>AD103*0.45</f>
        <v>111.60000000000001</v>
      </c>
      <c r="AD103" s="88">
        <v>248</v>
      </c>
      <c r="AE103" s="88">
        <v>59.42</v>
      </c>
      <c r="AF103" s="88"/>
      <c r="AG103" s="87"/>
      <c r="AH103" s="122"/>
      <c r="AI103" s="122"/>
      <c r="AJ103" s="122"/>
      <c r="AK103" s="122"/>
      <c r="AL103" s="122"/>
      <c r="AM103" s="122"/>
    </row>
    <row r="104" spans="21:39" s="85" customFormat="1" ht="12">
      <c r="U104" s="85">
        <v>2</v>
      </c>
      <c r="V104" s="87" t="s">
        <v>222</v>
      </c>
      <c r="W104" s="92">
        <v>1030</v>
      </c>
      <c r="X104" s="92"/>
      <c r="Y104" s="3">
        <f t="shared" si="0"/>
        <v>746.7599999999999</v>
      </c>
      <c r="Z104" s="31">
        <v>29.4</v>
      </c>
      <c r="AA104" s="31">
        <f aca="true" t="shared" si="1" ref="AA104:AA161">AB104*25.4</f>
        <v>4927.599999999999</v>
      </c>
      <c r="AB104" s="92">
        <v>194</v>
      </c>
      <c r="AC104" s="33">
        <f aca="true" t="shared" si="2" ref="AC104:AC161">AD104*0.45</f>
        <v>101.7</v>
      </c>
      <c r="AD104" s="88">
        <v>226</v>
      </c>
      <c r="AE104" s="92">
        <v>59.42</v>
      </c>
      <c r="AF104" s="92"/>
      <c r="AG104" s="87"/>
      <c r="AH104" s="122"/>
      <c r="AI104" s="122"/>
      <c r="AJ104" s="122"/>
      <c r="AK104" s="122"/>
      <c r="AL104" s="122"/>
      <c r="AM104" s="122"/>
    </row>
    <row r="105" spans="21:39" s="85" customFormat="1" ht="12">
      <c r="U105" s="85">
        <v>3</v>
      </c>
      <c r="V105" s="87" t="s">
        <v>223</v>
      </c>
      <c r="W105" s="31">
        <v>1050</v>
      </c>
      <c r="X105" s="31"/>
      <c r="Y105" s="3">
        <f t="shared" si="0"/>
        <v>772.16</v>
      </c>
      <c r="Z105" s="31">
        <v>30.4</v>
      </c>
      <c r="AA105" s="31">
        <f t="shared" si="1"/>
        <v>5029.2</v>
      </c>
      <c r="AB105" s="31">
        <v>198</v>
      </c>
      <c r="AC105" s="33">
        <f t="shared" si="2"/>
        <v>104.4</v>
      </c>
      <c r="AD105" s="31">
        <v>232</v>
      </c>
      <c r="AE105" s="88">
        <v>59.42</v>
      </c>
      <c r="AF105" s="31"/>
      <c r="AG105" s="87"/>
      <c r="AH105" s="122"/>
      <c r="AI105" s="122"/>
      <c r="AJ105" s="122"/>
      <c r="AK105" s="122"/>
      <c r="AL105" s="122"/>
      <c r="AM105" s="122"/>
    </row>
    <row r="106" spans="21:39" s="85" customFormat="1" ht="12">
      <c r="U106" s="85">
        <v>4</v>
      </c>
      <c r="V106" s="87" t="s">
        <v>224</v>
      </c>
      <c r="W106" s="31">
        <v>1021</v>
      </c>
      <c r="X106" s="31"/>
      <c r="Y106" s="3">
        <f t="shared" si="0"/>
        <v>490.21999999999997</v>
      </c>
      <c r="Z106" s="31">
        <v>19.3</v>
      </c>
      <c r="AA106" s="31">
        <f t="shared" si="1"/>
        <v>3042.9199999999996</v>
      </c>
      <c r="AB106" s="31">
        <v>119.8</v>
      </c>
      <c r="AC106" s="33">
        <f t="shared" si="2"/>
        <v>75.60000000000001</v>
      </c>
      <c r="AD106" s="31">
        <v>168</v>
      </c>
      <c r="AE106" s="92">
        <v>59.42</v>
      </c>
      <c r="AF106" s="31"/>
      <c r="AG106" s="87"/>
      <c r="AH106" s="122"/>
      <c r="AI106" s="122"/>
      <c r="AJ106" s="122"/>
      <c r="AK106" s="122"/>
      <c r="AL106" s="122"/>
      <c r="AM106" s="122"/>
    </row>
    <row r="107" spans="21:39" s="85" customFormat="1" ht="12">
      <c r="U107" s="85">
        <v>5</v>
      </c>
      <c r="V107" s="87" t="s">
        <v>225</v>
      </c>
      <c r="W107" s="31" t="s">
        <v>226</v>
      </c>
      <c r="X107" s="31"/>
      <c r="Y107" s="3">
        <f t="shared" si="0"/>
        <v>474.97999999999996</v>
      </c>
      <c r="Z107" s="31">
        <v>18.7</v>
      </c>
      <c r="AA107" s="31">
        <f t="shared" si="1"/>
        <v>3042.9199999999996</v>
      </c>
      <c r="AB107" s="31">
        <v>119.8</v>
      </c>
      <c r="AC107" s="33">
        <f t="shared" si="2"/>
        <v>75.60000000000001</v>
      </c>
      <c r="AD107" s="31">
        <v>168</v>
      </c>
      <c r="AE107" s="88">
        <v>59.42</v>
      </c>
      <c r="AF107" s="31"/>
      <c r="AG107" s="87"/>
      <c r="AH107" s="122"/>
      <c r="AI107" s="122"/>
      <c r="AJ107" s="122"/>
      <c r="AK107" s="122"/>
      <c r="AL107" s="122"/>
      <c r="AM107" s="122"/>
    </row>
    <row r="108" spans="21:39" s="85" customFormat="1" ht="12">
      <c r="U108" s="85">
        <v>6</v>
      </c>
      <c r="V108" s="87" t="s">
        <v>227</v>
      </c>
      <c r="W108" s="31" t="s">
        <v>228</v>
      </c>
      <c r="X108" s="31"/>
      <c r="Y108" s="3">
        <f t="shared" si="0"/>
        <v>581.66</v>
      </c>
      <c r="Z108" s="31">
        <v>22.9</v>
      </c>
      <c r="AA108" s="31">
        <f t="shared" si="1"/>
        <v>3835.3999999999996</v>
      </c>
      <c r="AB108" s="31">
        <v>151</v>
      </c>
      <c r="AC108" s="33">
        <f t="shared" si="2"/>
        <v>69.3</v>
      </c>
      <c r="AD108" s="31">
        <v>154</v>
      </c>
      <c r="AE108" s="92">
        <v>59.42</v>
      </c>
      <c r="AF108" s="31"/>
      <c r="AG108" s="87"/>
      <c r="AH108" s="122"/>
      <c r="AI108" s="122"/>
      <c r="AJ108" s="122"/>
      <c r="AK108" s="122"/>
      <c r="AL108" s="122"/>
      <c r="AM108" s="122"/>
    </row>
    <row r="109" spans="21:39" s="85" customFormat="1" ht="24">
      <c r="U109" s="85">
        <v>7</v>
      </c>
      <c r="V109" s="89" t="s">
        <v>229</v>
      </c>
      <c r="W109" s="3" t="s">
        <v>230</v>
      </c>
      <c r="X109" s="3">
        <v>39</v>
      </c>
      <c r="Y109" s="3">
        <f>Z109*25.4</f>
        <v>599.44</v>
      </c>
      <c r="Z109" s="3">
        <v>23.6</v>
      </c>
      <c r="AA109" s="31">
        <f t="shared" si="1"/>
        <v>3911.6</v>
      </c>
      <c r="AB109" s="3">
        <v>154</v>
      </c>
      <c r="AC109" s="33">
        <f t="shared" si="2"/>
        <v>108</v>
      </c>
      <c r="AD109" s="31">
        <v>240</v>
      </c>
      <c r="AE109" s="88">
        <v>59.42</v>
      </c>
      <c r="AF109" s="31"/>
      <c r="AG109" s="87"/>
      <c r="AH109" s="122"/>
      <c r="AI109" s="122"/>
      <c r="AJ109" s="122"/>
      <c r="AK109" s="122"/>
      <c r="AL109" s="122"/>
      <c r="AM109" s="122"/>
    </row>
    <row r="110" spans="21:39" s="85" customFormat="1" ht="12">
      <c r="U110" s="85">
        <v>8</v>
      </c>
      <c r="V110" s="87" t="s">
        <v>231</v>
      </c>
      <c r="W110" s="3" t="s">
        <v>232</v>
      </c>
      <c r="X110" s="3" t="s">
        <v>233</v>
      </c>
      <c r="Y110" s="3">
        <f aca="true" t="shared" si="3" ref="Y110:Y167">Z110*25.4</f>
        <v>650.24</v>
      </c>
      <c r="Z110" s="3">
        <v>25.6</v>
      </c>
      <c r="AA110" s="31">
        <f t="shared" si="1"/>
        <v>4241.8</v>
      </c>
      <c r="AB110" s="3">
        <v>167</v>
      </c>
      <c r="AC110" s="33">
        <f t="shared" si="2"/>
        <v>87.3</v>
      </c>
      <c r="AD110" s="31">
        <v>194</v>
      </c>
      <c r="AE110" s="92">
        <v>59.42</v>
      </c>
      <c r="AF110" s="31"/>
      <c r="AG110" s="87"/>
      <c r="AH110" s="122"/>
      <c r="AI110" s="122"/>
      <c r="AJ110" s="122"/>
      <c r="AK110" s="122"/>
      <c r="AL110" s="122"/>
      <c r="AM110" s="122"/>
    </row>
    <row r="111" spans="21:39" s="85" customFormat="1" ht="12">
      <c r="U111" s="85">
        <v>9</v>
      </c>
      <c r="V111" s="87" t="s">
        <v>234</v>
      </c>
      <c r="W111" s="3" t="s">
        <v>235</v>
      </c>
      <c r="X111" s="3"/>
      <c r="Y111" s="3">
        <f t="shared" si="3"/>
        <v>637.54</v>
      </c>
      <c r="Z111" s="3">
        <v>25.1</v>
      </c>
      <c r="AA111" s="31">
        <f t="shared" si="1"/>
        <v>4318</v>
      </c>
      <c r="AB111" s="3">
        <v>170</v>
      </c>
      <c r="AC111" s="33">
        <f t="shared" si="2"/>
        <v>119.7</v>
      </c>
      <c r="AD111" s="3">
        <v>266</v>
      </c>
      <c r="AE111" s="88">
        <v>59.42</v>
      </c>
      <c r="AF111" s="31"/>
      <c r="AG111" s="87"/>
      <c r="AH111" s="122"/>
      <c r="AI111" s="122"/>
      <c r="AJ111" s="122"/>
      <c r="AK111" s="122"/>
      <c r="AL111" s="122"/>
      <c r="AM111" s="122"/>
    </row>
    <row r="112" spans="21:39" s="85" customFormat="1" ht="12">
      <c r="U112" s="85">
        <v>10</v>
      </c>
      <c r="V112" s="87" t="s">
        <v>236</v>
      </c>
      <c r="W112" s="31" t="s">
        <v>237</v>
      </c>
      <c r="X112" s="31">
        <v>42</v>
      </c>
      <c r="Y112" s="3">
        <f t="shared" si="3"/>
        <v>662.94</v>
      </c>
      <c r="Z112" s="31">
        <v>26.1</v>
      </c>
      <c r="AA112" s="31">
        <f t="shared" si="1"/>
        <v>4394.2</v>
      </c>
      <c r="AB112" s="31">
        <v>173</v>
      </c>
      <c r="AC112" s="33">
        <f t="shared" si="2"/>
        <v>94.275</v>
      </c>
      <c r="AD112" s="31">
        <v>209.5</v>
      </c>
      <c r="AE112" s="92">
        <v>59.42</v>
      </c>
      <c r="AF112" s="31"/>
      <c r="AG112" s="87"/>
      <c r="AH112" s="122"/>
      <c r="AI112" s="122"/>
      <c r="AJ112" s="122"/>
      <c r="AK112" s="122"/>
      <c r="AL112" s="122"/>
      <c r="AM112" s="122"/>
    </row>
    <row r="113" spans="21:39" s="85" customFormat="1" ht="12">
      <c r="U113" s="85">
        <v>11</v>
      </c>
      <c r="V113" s="87" t="s">
        <v>236</v>
      </c>
      <c r="W113" s="31" t="s">
        <v>238</v>
      </c>
      <c r="X113" s="31">
        <v>42</v>
      </c>
      <c r="Y113" s="3">
        <f t="shared" si="3"/>
        <v>660.4</v>
      </c>
      <c r="Z113" s="31">
        <v>26</v>
      </c>
      <c r="AA113" s="31">
        <f t="shared" si="1"/>
        <v>4445</v>
      </c>
      <c r="AB113" s="31">
        <v>175</v>
      </c>
      <c r="AC113" s="33">
        <f t="shared" si="2"/>
        <v>112.95</v>
      </c>
      <c r="AD113" s="31">
        <v>251</v>
      </c>
      <c r="AE113" s="88">
        <v>59.42</v>
      </c>
      <c r="AF113" s="31"/>
      <c r="AG113" s="87"/>
      <c r="AH113" s="122"/>
      <c r="AI113" s="122"/>
      <c r="AJ113" s="122"/>
      <c r="AK113" s="122"/>
      <c r="AL113" s="122"/>
      <c r="AM113" s="122"/>
    </row>
    <row r="114" spans="21:39" s="85" customFormat="1" ht="12">
      <c r="U114" s="85">
        <v>12</v>
      </c>
      <c r="V114" s="87" t="s">
        <v>239</v>
      </c>
      <c r="W114" s="31">
        <v>1124</v>
      </c>
      <c r="X114" s="31">
        <v>42</v>
      </c>
      <c r="Y114" s="3">
        <f t="shared" si="3"/>
        <v>678.18</v>
      </c>
      <c r="Z114" s="31">
        <v>26.7</v>
      </c>
      <c r="AA114" s="31">
        <f t="shared" si="1"/>
        <v>4546.599999999999</v>
      </c>
      <c r="AB114" s="31">
        <v>179</v>
      </c>
      <c r="AC114" s="33">
        <f t="shared" si="2"/>
        <v>121.95</v>
      </c>
      <c r="AD114" s="31">
        <v>271</v>
      </c>
      <c r="AE114" s="92">
        <v>59.42</v>
      </c>
      <c r="AF114" s="31"/>
      <c r="AG114" s="87"/>
      <c r="AH114" s="122"/>
      <c r="AI114" s="122"/>
      <c r="AJ114" s="122"/>
      <c r="AK114" s="122"/>
      <c r="AL114" s="122"/>
      <c r="AM114" s="122"/>
    </row>
    <row r="115" spans="21:39" s="85" customFormat="1" ht="24">
      <c r="U115" s="85">
        <v>13</v>
      </c>
      <c r="V115" s="89" t="s">
        <v>240</v>
      </c>
      <c r="W115" s="31" t="s">
        <v>241</v>
      </c>
      <c r="X115" s="31">
        <v>42</v>
      </c>
      <c r="Y115" s="3">
        <f t="shared" si="3"/>
        <v>678.18</v>
      </c>
      <c r="Z115" s="31">
        <v>26.7</v>
      </c>
      <c r="AA115" s="31">
        <f t="shared" si="1"/>
        <v>4546.599999999999</v>
      </c>
      <c r="AB115" s="31">
        <v>179</v>
      </c>
      <c r="AC115" s="33">
        <f t="shared" si="2"/>
        <v>121.95</v>
      </c>
      <c r="AD115" s="31">
        <v>271</v>
      </c>
      <c r="AE115" s="88">
        <v>59.42</v>
      </c>
      <c r="AF115" s="31"/>
      <c r="AG115" s="87"/>
      <c r="AH115" s="122"/>
      <c r="AI115" s="122"/>
      <c r="AJ115" s="122"/>
      <c r="AK115" s="122"/>
      <c r="AL115" s="122"/>
      <c r="AM115" s="122"/>
    </row>
    <row r="116" spans="21:39" s="85" customFormat="1" ht="12">
      <c r="U116" s="85">
        <v>14</v>
      </c>
      <c r="V116" s="87" t="s">
        <v>242</v>
      </c>
      <c r="W116" s="3" t="s">
        <v>243</v>
      </c>
      <c r="X116" s="3">
        <v>43</v>
      </c>
      <c r="Y116" s="3">
        <f t="shared" si="3"/>
        <v>716.28</v>
      </c>
      <c r="Z116" s="3">
        <v>28.2</v>
      </c>
      <c r="AA116" s="31">
        <f t="shared" si="1"/>
        <v>4716.78</v>
      </c>
      <c r="AB116" s="3">
        <v>185.7</v>
      </c>
      <c r="AC116" s="33">
        <f t="shared" si="2"/>
        <v>109.17</v>
      </c>
      <c r="AD116" s="3">
        <v>242.6</v>
      </c>
      <c r="AE116" s="92">
        <v>59.42</v>
      </c>
      <c r="AF116" s="31"/>
      <c r="AG116" s="87"/>
      <c r="AH116" s="122"/>
      <c r="AI116" s="122"/>
      <c r="AJ116" s="122"/>
      <c r="AK116" s="122"/>
      <c r="AL116" s="122"/>
      <c r="AM116" s="122"/>
    </row>
    <row r="117" spans="21:39" s="85" customFormat="1" ht="12">
      <c r="U117" s="85">
        <v>15</v>
      </c>
      <c r="V117" s="87" t="s">
        <v>244</v>
      </c>
      <c r="W117" s="3" t="s">
        <v>245</v>
      </c>
      <c r="X117" s="3" t="s">
        <v>233</v>
      </c>
      <c r="Y117" s="3">
        <f t="shared" si="3"/>
        <v>716.28</v>
      </c>
      <c r="Z117" s="3">
        <v>28.2</v>
      </c>
      <c r="AA117" s="31">
        <f t="shared" si="1"/>
        <v>4724.4</v>
      </c>
      <c r="AB117" s="3">
        <v>186</v>
      </c>
      <c r="AC117" s="33">
        <f t="shared" si="2"/>
        <v>91.35000000000001</v>
      </c>
      <c r="AD117" s="3">
        <v>203</v>
      </c>
      <c r="AE117" s="88">
        <v>59.42</v>
      </c>
      <c r="AF117" s="31"/>
      <c r="AG117" s="87"/>
      <c r="AH117" s="122"/>
      <c r="AI117" s="122"/>
      <c r="AJ117" s="122"/>
      <c r="AK117" s="122"/>
      <c r="AL117" s="122"/>
      <c r="AM117" s="122"/>
    </row>
    <row r="118" spans="21:39" s="85" customFormat="1" ht="24">
      <c r="U118" s="85">
        <v>16</v>
      </c>
      <c r="V118" s="89" t="s">
        <v>246</v>
      </c>
      <c r="W118" s="31" t="s">
        <v>247</v>
      </c>
      <c r="X118" s="31">
        <v>43</v>
      </c>
      <c r="Y118" s="3">
        <f t="shared" si="3"/>
        <v>716.28</v>
      </c>
      <c r="Z118" s="31">
        <v>28.2</v>
      </c>
      <c r="AA118" s="31">
        <f t="shared" si="1"/>
        <v>4716.78</v>
      </c>
      <c r="AB118" s="31">
        <v>185.7</v>
      </c>
      <c r="AC118" s="33">
        <f t="shared" si="2"/>
        <v>109.17</v>
      </c>
      <c r="AD118" s="31">
        <v>242.6</v>
      </c>
      <c r="AE118" s="92">
        <v>59.42</v>
      </c>
      <c r="AF118" s="31"/>
      <c r="AG118" s="87"/>
      <c r="AH118" s="122"/>
      <c r="AI118" s="122"/>
      <c r="AJ118" s="122"/>
      <c r="AK118" s="122"/>
      <c r="AL118" s="122"/>
      <c r="AM118" s="122"/>
    </row>
    <row r="119" spans="21:39" s="85" customFormat="1" ht="12">
      <c r="U119" s="85">
        <v>17</v>
      </c>
      <c r="V119" s="87" t="s">
        <v>248</v>
      </c>
      <c r="W119" s="31" t="s">
        <v>249</v>
      </c>
      <c r="X119" s="31">
        <v>43</v>
      </c>
      <c r="Y119" s="3">
        <f t="shared" si="3"/>
        <v>708.66</v>
      </c>
      <c r="Z119" s="31">
        <v>27.9</v>
      </c>
      <c r="AA119" s="31">
        <f t="shared" si="1"/>
        <v>4749.8</v>
      </c>
      <c r="AB119" s="31">
        <v>187</v>
      </c>
      <c r="AC119" s="33">
        <f t="shared" si="2"/>
        <v>132.75</v>
      </c>
      <c r="AD119" s="31">
        <v>295</v>
      </c>
      <c r="AE119" s="88">
        <v>59.42</v>
      </c>
      <c r="AF119" s="31"/>
      <c r="AG119" s="87"/>
      <c r="AH119" s="122"/>
      <c r="AI119" s="122"/>
      <c r="AJ119" s="122"/>
      <c r="AK119" s="122"/>
      <c r="AL119" s="122"/>
      <c r="AM119" s="122"/>
    </row>
    <row r="120" spans="21:39" s="85" customFormat="1" ht="12">
      <c r="U120" s="85">
        <v>18</v>
      </c>
      <c r="V120" s="87" t="s">
        <v>250</v>
      </c>
      <c r="W120" s="31" t="s">
        <v>251</v>
      </c>
      <c r="X120" s="31">
        <v>44</v>
      </c>
      <c r="Y120" s="3">
        <f t="shared" si="3"/>
        <v>734.06</v>
      </c>
      <c r="Z120" s="31">
        <v>28.9</v>
      </c>
      <c r="AA120" s="31">
        <f t="shared" si="1"/>
        <v>4808.22</v>
      </c>
      <c r="AB120" s="31">
        <v>189.3</v>
      </c>
      <c r="AC120" s="33">
        <f t="shared" si="2"/>
        <v>95.265</v>
      </c>
      <c r="AD120" s="31">
        <v>211.7</v>
      </c>
      <c r="AE120" s="92">
        <v>59.42</v>
      </c>
      <c r="AF120" s="31"/>
      <c r="AG120" s="87"/>
      <c r="AH120" s="122"/>
      <c r="AI120" s="122"/>
      <c r="AJ120" s="122"/>
      <c r="AK120" s="122"/>
      <c r="AL120" s="122"/>
      <c r="AM120" s="122"/>
    </row>
    <row r="121" spans="21:39" s="85" customFormat="1" ht="12">
      <c r="U121" s="85">
        <v>19</v>
      </c>
      <c r="V121" s="87" t="s">
        <v>252</v>
      </c>
      <c r="W121" s="31" t="s">
        <v>253</v>
      </c>
      <c r="X121" s="31">
        <v>44</v>
      </c>
      <c r="Y121" s="3">
        <f t="shared" si="3"/>
        <v>734.06</v>
      </c>
      <c r="Z121" s="31">
        <v>28.9</v>
      </c>
      <c r="AA121" s="31">
        <f t="shared" si="1"/>
        <v>4927.599999999999</v>
      </c>
      <c r="AB121" s="31">
        <v>194</v>
      </c>
      <c r="AC121" s="33">
        <f t="shared" si="2"/>
        <v>133.20000000000002</v>
      </c>
      <c r="AD121" s="31">
        <v>296</v>
      </c>
      <c r="AE121" s="88">
        <v>59.42</v>
      </c>
      <c r="AF121" s="31"/>
      <c r="AG121" s="87"/>
      <c r="AH121" s="122"/>
      <c r="AI121" s="122"/>
      <c r="AJ121" s="122"/>
      <c r="AK121" s="122"/>
      <c r="AL121" s="122"/>
      <c r="AM121" s="122"/>
    </row>
    <row r="122" spans="21:39" s="85" customFormat="1" ht="24">
      <c r="U122" s="85">
        <v>20</v>
      </c>
      <c r="V122" s="89" t="s">
        <v>254</v>
      </c>
      <c r="W122" s="66" t="s">
        <v>255</v>
      </c>
      <c r="X122" s="66">
        <v>44</v>
      </c>
      <c r="Y122" s="3">
        <f t="shared" si="3"/>
        <v>734.06</v>
      </c>
      <c r="Z122" s="66">
        <v>28.9</v>
      </c>
      <c r="AA122" s="31">
        <f t="shared" si="1"/>
        <v>4927.599999999999</v>
      </c>
      <c r="AB122" s="66">
        <v>194</v>
      </c>
      <c r="AC122" s="33">
        <f t="shared" si="2"/>
        <v>133.20000000000002</v>
      </c>
      <c r="AD122" s="3">
        <v>296</v>
      </c>
      <c r="AE122" s="92">
        <v>59.42</v>
      </c>
      <c r="AF122" s="3"/>
      <c r="AG122" s="87"/>
      <c r="AH122" s="122"/>
      <c r="AI122" s="122"/>
      <c r="AJ122" s="122"/>
      <c r="AK122" s="122"/>
      <c r="AL122" s="122"/>
      <c r="AM122" s="122"/>
    </row>
    <row r="123" spans="21:39" s="85" customFormat="1" ht="12">
      <c r="U123" s="85">
        <v>21</v>
      </c>
      <c r="V123" s="87" t="s">
        <v>256</v>
      </c>
      <c r="W123" s="3" t="s">
        <v>257</v>
      </c>
      <c r="X123" s="3"/>
      <c r="Y123" s="3"/>
      <c r="Z123" s="3"/>
      <c r="AA123" s="31"/>
      <c r="AB123" s="3"/>
      <c r="AC123" s="33">
        <f t="shared" si="2"/>
        <v>0</v>
      </c>
      <c r="AD123" s="3"/>
      <c r="AE123" s="3"/>
      <c r="AF123" s="3"/>
      <c r="AG123" s="87"/>
      <c r="AH123" s="122"/>
      <c r="AI123" s="122"/>
      <c r="AJ123" s="122"/>
      <c r="AK123" s="122"/>
      <c r="AL123" s="122"/>
      <c r="AM123" s="122"/>
    </row>
    <row r="124" spans="21:39" s="85" customFormat="1" ht="12">
      <c r="U124" s="85">
        <v>22</v>
      </c>
      <c r="V124" s="87" t="s">
        <v>258</v>
      </c>
      <c r="W124" s="31" t="s">
        <v>259</v>
      </c>
      <c r="X124" s="31">
        <v>44</v>
      </c>
      <c r="Y124" s="3">
        <f t="shared" si="3"/>
        <v>751.84</v>
      </c>
      <c r="Z124" s="31">
        <v>29.6</v>
      </c>
      <c r="AA124" s="31">
        <f t="shared" si="1"/>
        <v>5054.599999999999</v>
      </c>
      <c r="AB124" s="31">
        <v>199</v>
      </c>
      <c r="AC124" s="33">
        <f t="shared" si="2"/>
        <v>136.8</v>
      </c>
      <c r="AD124" s="31">
        <v>304</v>
      </c>
      <c r="AE124" s="31">
        <v>69.85</v>
      </c>
      <c r="AF124" s="31"/>
      <c r="AG124" s="87"/>
      <c r="AH124" s="122"/>
      <c r="AI124" s="122"/>
      <c r="AJ124" s="122"/>
      <c r="AK124" s="122"/>
      <c r="AL124" s="122"/>
      <c r="AM124" s="122"/>
    </row>
    <row r="125" spans="21:39" s="85" customFormat="1" ht="24">
      <c r="U125" s="85">
        <v>23</v>
      </c>
      <c r="V125" s="89" t="s">
        <v>260</v>
      </c>
      <c r="W125" s="31" t="s">
        <v>261</v>
      </c>
      <c r="X125" s="31">
        <v>44</v>
      </c>
      <c r="Y125" s="3">
        <f t="shared" si="3"/>
        <v>751.84</v>
      </c>
      <c r="Z125" s="31">
        <v>29.6</v>
      </c>
      <c r="AA125" s="31">
        <f t="shared" si="1"/>
        <v>5054.599999999999</v>
      </c>
      <c r="AB125" s="31">
        <v>199</v>
      </c>
      <c r="AC125" s="33">
        <f t="shared" si="2"/>
        <v>136.8</v>
      </c>
      <c r="AD125" s="31">
        <v>304</v>
      </c>
      <c r="AE125" s="31">
        <v>69.85</v>
      </c>
      <c r="AF125" s="31"/>
      <c r="AG125" s="87"/>
      <c r="AH125" s="122"/>
      <c r="AI125" s="122"/>
      <c r="AJ125" s="122"/>
      <c r="AK125" s="122"/>
      <c r="AL125" s="122"/>
      <c r="AM125" s="122"/>
    </row>
    <row r="126" spans="21:39" s="85" customFormat="1" ht="12">
      <c r="U126" s="85">
        <v>24</v>
      </c>
      <c r="V126" s="87" t="s">
        <v>262</v>
      </c>
      <c r="W126" s="31" t="s">
        <v>263</v>
      </c>
      <c r="X126" s="31">
        <v>45</v>
      </c>
      <c r="Y126" s="3">
        <f t="shared" si="3"/>
        <v>754.38</v>
      </c>
      <c r="Z126" s="31">
        <v>29.7</v>
      </c>
      <c r="AA126" s="31">
        <f t="shared" si="1"/>
        <v>5054.599999999999</v>
      </c>
      <c r="AB126" s="31">
        <v>199</v>
      </c>
      <c r="AC126" s="33">
        <f t="shared" si="2"/>
        <v>146.70000000000002</v>
      </c>
      <c r="AD126" s="31">
        <v>326</v>
      </c>
      <c r="AE126" s="31">
        <v>69.85</v>
      </c>
      <c r="AF126" s="31"/>
      <c r="AG126" s="87"/>
      <c r="AH126" s="122"/>
      <c r="AI126" s="122"/>
      <c r="AJ126" s="122"/>
      <c r="AK126" s="122"/>
      <c r="AL126" s="122"/>
      <c r="AM126" s="122"/>
    </row>
    <row r="127" spans="21:39" s="85" customFormat="1" ht="12">
      <c r="U127" s="85">
        <v>25</v>
      </c>
      <c r="V127" s="87" t="s">
        <v>264</v>
      </c>
      <c r="W127" s="31" t="s">
        <v>265</v>
      </c>
      <c r="X127" s="31">
        <v>45</v>
      </c>
      <c r="Y127" s="3">
        <f t="shared" si="3"/>
        <v>787.4</v>
      </c>
      <c r="Z127" s="31">
        <v>31</v>
      </c>
      <c r="AA127" s="31">
        <f t="shared" si="1"/>
        <v>5207</v>
      </c>
      <c r="AB127" s="31">
        <v>205</v>
      </c>
      <c r="AC127" s="33">
        <f t="shared" si="2"/>
        <v>175.5</v>
      </c>
      <c r="AD127" s="31">
        <v>390</v>
      </c>
      <c r="AE127" s="31">
        <v>69.85</v>
      </c>
      <c r="AF127" s="31"/>
      <c r="AG127" s="87"/>
      <c r="AH127" s="122"/>
      <c r="AI127" s="122"/>
      <c r="AJ127" s="122"/>
      <c r="AK127" s="122"/>
      <c r="AL127" s="122"/>
      <c r="AM127" s="122"/>
    </row>
    <row r="128" spans="21:39" s="85" customFormat="1" ht="24">
      <c r="U128" s="85">
        <v>26</v>
      </c>
      <c r="V128" s="89" t="s">
        <v>266</v>
      </c>
      <c r="W128" s="31" t="s">
        <v>267</v>
      </c>
      <c r="X128" s="31">
        <v>45</v>
      </c>
      <c r="Y128" s="3">
        <f t="shared" si="3"/>
        <v>787.4</v>
      </c>
      <c r="Z128" s="31">
        <v>31</v>
      </c>
      <c r="AA128" s="31">
        <f t="shared" si="1"/>
        <v>5207</v>
      </c>
      <c r="AB128" s="31">
        <v>205</v>
      </c>
      <c r="AC128" s="33">
        <f t="shared" si="2"/>
        <v>175.5</v>
      </c>
      <c r="AD128" s="31">
        <v>390</v>
      </c>
      <c r="AE128" s="31">
        <v>69.85</v>
      </c>
      <c r="AF128" s="31"/>
      <c r="AG128" s="87"/>
      <c r="AH128" s="122"/>
      <c r="AI128" s="122"/>
      <c r="AJ128" s="122"/>
      <c r="AK128" s="122"/>
      <c r="AL128" s="122"/>
      <c r="AM128" s="122"/>
    </row>
    <row r="129" spans="21:39" s="85" customFormat="1" ht="12">
      <c r="U129" s="85">
        <v>27</v>
      </c>
      <c r="V129" s="87" t="s">
        <v>268</v>
      </c>
      <c r="W129" s="31">
        <v>1563</v>
      </c>
      <c r="X129" s="31" t="s">
        <v>233</v>
      </c>
      <c r="Y129" s="3">
        <f t="shared" si="3"/>
        <v>843.28</v>
      </c>
      <c r="Z129" s="31">
        <v>33.2</v>
      </c>
      <c r="AA129" s="31">
        <f t="shared" si="1"/>
        <v>5435.599999999999</v>
      </c>
      <c r="AB129" s="31">
        <v>214</v>
      </c>
      <c r="AC129" s="33">
        <f t="shared" si="2"/>
        <v>106.2</v>
      </c>
      <c r="AD129" s="31">
        <v>236</v>
      </c>
      <c r="AE129" s="31">
        <v>59.42</v>
      </c>
      <c r="AF129" s="31"/>
      <c r="AG129" s="87"/>
      <c r="AH129" s="122"/>
      <c r="AI129" s="122"/>
      <c r="AJ129" s="122"/>
      <c r="AK129" s="122"/>
      <c r="AL129" s="122"/>
      <c r="AM129" s="122"/>
    </row>
    <row r="130" spans="21:39" s="85" customFormat="1" ht="12">
      <c r="U130" s="85">
        <v>28</v>
      </c>
      <c r="V130" s="87" t="s">
        <v>159</v>
      </c>
      <c r="W130" s="31" t="s">
        <v>269</v>
      </c>
      <c r="X130" s="31">
        <v>44</v>
      </c>
      <c r="Y130" s="3">
        <f t="shared" si="3"/>
        <v>764.54</v>
      </c>
      <c r="Z130" s="31">
        <v>30.1</v>
      </c>
      <c r="AA130" s="31">
        <f t="shared" si="1"/>
        <v>4978.4</v>
      </c>
      <c r="AB130" s="31">
        <v>196</v>
      </c>
      <c r="AC130" s="33">
        <f t="shared" si="2"/>
        <v>101.25</v>
      </c>
      <c r="AD130" s="31">
        <v>225</v>
      </c>
      <c r="AE130" s="31">
        <v>59.42</v>
      </c>
      <c r="AF130" s="31"/>
      <c r="AG130" s="87"/>
      <c r="AH130" s="122"/>
      <c r="AI130" s="122"/>
      <c r="AJ130" s="122"/>
      <c r="AK130" s="122"/>
      <c r="AL130" s="122"/>
      <c r="AM130" s="122"/>
    </row>
    <row r="131" spans="21:39" s="85" customFormat="1" ht="12">
      <c r="U131" s="85">
        <v>29</v>
      </c>
      <c r="V131" s="87" t="s">
        <v>270</v>
      </c>
      <c r="W131" s="31" t="s">
        <v>271</v>
      </c>
      <c r="X131" s="31">
        <v>45</v>
      </c>
      <c r="Y131" s="3">
        <f t="shared" si="3"/>
        <v>782.3199999999999</v>
      </c>
      <c r="Z131" s="31">
        <v>30.8</v>
      </c>
      <c r="AA131" s="31">
        <f t="shared" si="1"/>
        <v>5257.799999999999</v>
      </c>
      <c r="AB131" s="31">
        <v>207</v>
      </c>
      <c r="AC131" s="33">
        <f t="shared" si="2"/>
        <v>164.70000000000002</v>
      </c>
      <c r="AD131" s="31">
        <v>366</v>
      </c>
      <c r="AE131" s="31">
        <v>69.85</v>
      </c>
      <c r="AF131" s="31"/>
      <c r="AG131" s="87"/>
      <c r="AH131" s="122"/>
      <c r="AI131" s="122"/>
      <c r="AJ131" s="122"/>
      <c r="AK131" s="122"/>
      <c r="AL131" s="122"/>
      <c r="AM131" s="122"/>
    </row>
    <row r="132" spans="21:39" s="85" customFormat="1" ht="12">
      <c r="U132" s="85">
        <v>30</v>
      </c>
      <c r="V132" s="87" t="s">
        <v>272</v>
      </c>
      <c r="W132" s="31" t="s">
        <v>273</v>
      </c>
      <c r="X132" s="31">
        <v>45</v>
      </c>
      <c r="Y132" s="3">
        <f t="shared" si="3"/>
        <v>800.0999999999999</v>
      </c>
      <c r="Z132" s="31">
        <v>31.5</v>
      </c>
      <c r="AA132" s="31">
        <f t="shared" si="1"/>
        <v>5334</v>
      </c>
      <c r="AB132" s="31">
        <v>210</v>
      </c>
      <c r="AC132" s="33">
        <f t="shared" si="2"/>
        <v>211.5</v>
      </c>
      <c r="AD132" s="31">
        <v>470</v>
      </c>
      <c r="AE132" s="31">
        <v>69.85</v>
      </c>
      <c r="AF132" s="31"/>
      <c r="AG132" s="87"/>
      <c r="AH132" s="122"/>
      <c r="AI132" s="122"/>
      <c r="AJ132" s="122"/>
      <c r="AK132" s="122"/>
      <c r="AL132" s="122"/>
      <c r="AM132" s="122"/>
    </row>
    <row r="133" spans="21:39" s="85" customFormat="1" ht="12">
      <c r="U133" s="85">
        <v>31</v>
      </c>
      <c r="V133" s="87" t="s">
        <v>272</v>
      </c>
      <c r="W133" s="31" t="s">
        <v>274</v>
      </c>
      <c r="X133" s="31">
        <v>45</v>
      </c>
      <c r="Y133" s="3">
        <f t="shared" si="3"/>
        <v>779.78</v>
      </c>
      <c r="Z133" s="31">
        <v>30.7</v>
      </c>
      <c r="AA133" s="31">
        <f t="shared" si="1"/>
        <v>5207</v>
      </c>
      <c r="AB133" s="31">
        <v>205</v>
      </c>
      <c r="AC133" s="33">
        <f t="shared" si="2"/>
        <v>178.605</v>
      </c>
      <c r="AD133" s="31">
        <v>396.9</v>
      </c>
      <c r="AE133" s="31">
        <v>69.85</v>
      </c>
      <c r="AF133" s="31"/>
      <c r="AG133" s="87"/>
      <c r="AH133" s="122"/>
      <c r="AI133" s="122"/>
      <c r="AJ133" s="122"/>
      <c r="AK133" s="122"/>
      <c r="AL133" s="122"/>
      <c r="AM133" s="122"/>
    </row>
    <row r="134" spans="21:39" s="85" customFormat="1" ht="12">
      <c r="U134" s="85">
        <v>32</v>
      </c>
      <c r="V134" s="87" t="s">
        <v>275</v>
      </c>
      <c r="W134" s="31" t="s">
        <v>276</v>
      </c>
      <c r="X134" s="31">
        <v>47</v>
      </c>
      <c r="Y134" s="3">
        <f t="shared" si="3"/>
        <v>909.3199999999998</v>
      </c>
      <c r="Z134" s="31">
        <v>35.8</v>
      </c>
      <c r="AA134" s="31">
        <f t="shared" si="1"/>
        <v>5918.2</v>
      </c>
      <c r="AB134" s="31">
        <v>233</v>
      </c>
      <c r="AC134" s="33">
        <f t="shared" si="2"/>
        <v>133.65</v>
      </c>
      <c r="AD134" s="31">
        <v>297</v>
      </c>
      <c r="AE134" s="31">
        <v>69.85</v>
      </c>
      <c r="AF134" s="31"/>
      <c r="AG134" s="87"/>
      <c r="AH134" s="122"/>
      <c r="AI134" s="122"/>
      <c r="AJ134" s="122"/>
      <c r="AK134" s="122"/>
      <c r="AL134" s="122"/>
      <c r="AM134" s="122"/>
    </row>
    <row r="135" spans="21:39" s="85" customFormat="1" ht="12">
      <c r="U135" s="85">
        <v>33</v>
      </c>
      <c r="V135" s="87" t="s">
        <v>277</v>
      </c>
      <c r="W135" s="31" t="s">
        <v>278</v>
      </c>
      <c r="X135" s="31" t="s">
        <v>279</v>
      </c>
      <c r="Y135" s="3">
        <f t="shared" si="3"/>
        <v>754.38</v>
      </c>
      <c r="Z135" s="31">
        <v>29.7</v>
      </c>
      <c r="AA135" s="31">
        <f t="shared" si="1"/>
        <v>5029.2</v>
      </c>
      <c r="AB135" s="31">
        <v>198</v>
      </c>
      <c r="AC135" s="33">
        <f t="shared" si="2"/>
        <v>175.95000000000002</v>
      </c>
      <c r="AD135" s="31">
        <v>391</v>
      </c>
      <c r="AE135" s="31">
        <v>69.85</v>
      </c>
      <c r="AF135" s="31"/>
      <c r="AG135" s="87"/>
      <c r="AH135" s="122"/>
      <c r="AI135" s="122"/>
      <c r="AJ135" s="122"/>
      <c r="AK135" s="122"/>
      <c r="AL135" s="122"/>
      <c r="AM135" s="122"/>
    </row>
    <row r="136" spans="20:39" s="85" customFormat="1" ht="12">
      <c r="T136" s="99" t="s">
        <v>280</v>
      </c>
      <c r="U136" s="85">
        <v>34</v>
      </c>
      <c r="V136" s="87" t="s">
        <v>219</v>
      </c>
      <c r="W136" s="31">
        <v>4202</v>
      </c>
      <c r="X136" s="31">
        <v>46</v>
      </c>
      <c r="Y136" s="3">
        <f t="shared" si="3"/>
        <v>868.6800000000001</v>
      </c>
      <c r="Z136" s="31">
        <v>34.2</v>
      </c>
      <c r="AA136" s="31">
        <f t="shared" si="1"/>
        <v>5588</v>
      </c>
      <c r="AB136" s="31">
        <v>220</v>
      </c>
      <c r="AC136" s="33">
        <f t="shared" si="2"/>
        <v>117.45</v>
      </c>
      <c r="AD136" s="31">
        <v>261</v>
      </c>
      <c r="AE136" s="31">
        <v>59.42</v>
      </c>
      <c r="AF136" s="31"/>
      <c r="AG136" s="87"/>
      <c r="AH136" s="122"/>
      <c r="AI136" s="122"/>
      <c r="AJ136" s="122"/>
      <c r="AK136" s="122"/>
      <c r="AL136" s="122"/>
      <c r="AM136" s="122"/>
    </row>
    <row r="137" spans="21:39" s="85" customFormat="1" ht="12">
      <c r="U137" s="85">
        <v>35</v>
      </c>
      <c r="V137" s="87" t="s">
        <v>281</v>
      </c>
      <c r="W137" s="31" t="s">
        <v>282</v>
      </c>
      <c r="X137" s="31">
        <v>46</v>
      </c>
      <c r="Y137" s="3">
        <f t="shared" si="3"/>
        <v>840.74</v>
      </c>
      <c r="Z137" s="31">
        <v>33.1</v>
      </c>
      <c r="AA137" s="31">
        <f t="shared" si="1"/>
        <v>5588</v>
      </c>
      <c r="AB137" s="31">
        <v>220</v>
      </c>
      <c r="AC137" s="33">
        <f t="shared" si="2"/>
        <v>143.1</v>
      </c>
      <c r="AD137" s="31">
        <v>318</v>
      </c>
      <c r="AE137" s="31">
        <v>69.85</v>
      </c>
      <c r="AF137" s="31"/>
      <c r="AG137" s="87"/>
      <c r="AH137" s="122"/>
      <c r="AI137" s="122"/>
      <c r="AJ137" s="122"/>
      <c r="AK137" s="122"/>
      <c r="AL137" s="122"/>
      <c r="AM137" s="122"/>
    </row>
    <row r="138" spans="21:39" s="85" customFormat="1" ht="12">
      <c r="U138" s="85">
        <v>36</v>
      </c>
      <c r="V138" s="87" t="s">
        <v>283</v>
      </c>
      <c r="W138" s="31" t="s">
        <v>284</v>
      </c>
      <c r="X138" s="31">
        <v>46</v>
      </c>
      <c r="Y138" s="3">
        <f t="shared" si="3"/>
        <v>845.8199999999999</v>
      </c>
      <c r="Z138" s="31">
        <v>33.3</v>
      </c>
      <c r="AA138" s="31">
        <f t="shared" si="1"/>
        <v>5537.2</v>
      </c>
      <c r="AB138" s="31">
        <v>218</v>
      </c>
      <c r="AC138" s="33">
        <f t="shared" si="2"/>
        <v>194.85</v>
      </c>
      <c r="AD138" s="31">
        <v>433</v>
      </c>
      <c r="AE138" s="31">
        <v>69.85</v>
      </c>
      <c r="AF138" s="31"/>
      <c r="AG138" s="87"/>
      <c r="AH138" s="122"/>
      <c r="AI138" s="122"/>
      <c r="AJ138" s="122"/>
      <c r="AK138" s="122"/>
      <c r="AL138" s="122"/>
      <c r="AM138" s="122"/>
    </row>
    <row r="139" spans="21:39" s="85" customFormat="1" ht="24">
      <c r="U139" s="85">
        <v>37</v>
      </c>
      <c r="V139" s="89" t="s">
        <v>285</v>
      </c>
      <c r="W139" s="31" t="s">
        <v>286</v>
      </c>
      <c r="X139" s="31">
        <v>46</v>
      </c>
      <c r="Y139" s="3">
        <f t="shared" si="3"/>
        <v>833.1199999999999</v>
      </c>
      <c r="Z139" s="31">
        <v>32.8</v>
      </c>
      <c r="AA139" s="31">
        <f t="shared" si="1"/>
        <v>5537.2</v>
      </c>
      <c r="AB139" s="31">
        <v>218</v>
      </c>
      <c r="AC139" s="33">
        <f t="shared" si="2"/>
        <v>189</v>
      </c>
      <c r="AD139" s="31">
        <v>420</v>
      </c>
      <c r="AE139" s="31">
        <v>69.85</v>
      </c>
      <c r="AF139" s="31"/>
      <c r="AG139" s="87"/>
      <c r="AH139" s="122"/>
      <c r="AI139" s="122"/>
      <c r="AJ139" s="122"/>
      <c r="AK139" s="122"/>
      <c r="AL139" s="122"/>
      <c r="AM139" s="122"/>
    </row>
    <row r="140" spans="21:39" s="85" customFormat="1" ht="12">
      <c r="U140" s="85">
        <v>38</v>
      </c>
      <c r="V140" s="87" t="s">
        <v>287</v>
      </c>
      <c r="W140" s="31" t="s">
        <v>288</v>
      </c>
      <c r="X140" s="31">
        <v>46</v>
      </c>
      <c r="Y140" s="3">
        <f t="shared" si="3"/>
        <v>833.1199999999999</v>
      </c>
      <c r="Z140" s="31">
        <v>32.8</v>
      </c>
      <c r="AA140" s="31">
        <f t="shared" si="1"/>
        <v>5539.74</v>
      </c>
      <c r="AB140" s="31">
        <v>218.1</v>
      </c>
      <c r="AC140" s="33">
        <f t="shared" si="2"/>
        <v>178.605</v>
      </c>
      <c r="AD140" s="31">
        <v>396.9</v>
      </c>
      <c r="AE140" s="31">
        <v>69.85</v>
      </c>
      <c r="AF140" s="31"/>
      <c r="AG140" s="87"/>
      <c r="AH140" s="122"/>
      <c r="AI140" s="122"/>
      <c r="AJ140" s="122"/>
      <c r="AK140" s="122"/>
      <c r="AL140" s="122"/>
      <c r="AM140" s="122"/>
    </row>
    <row r="141" spans="21:39" s="85" customFormat="1" ht="12">
      <c r="U141" s="85">
        <v>39</v>
      </c>
      <c r="V141" s="87" t="s">
        <v>289</v>
      </c>
      <c r="W141" s="31" t="s">
        <v>290</v>
      </c>
      <c r="X141" s="31">
        <v>46</v>
      </c>
      <c r="Y141" s="3">
        <f t="shared" si="3"/>
        <v>812.8</v>
      </c>
      <c r="Z141" s="31">
        <v>32</v>
      </c>
      <c r="AA141" s="31">
        <f t="shared" si="1"/>
        <v>5506.72</v>
      </c>
      <c r="AB141" s="31">
        <v>216.8</v>
      </c>
      <c r="AC141" s="33">
        <f t="shared" si="2"/>
        <v>182.25</v>
      </c>
      <c r="AD141" s="31">
        <v>405</v>
      </c>
      <c r="AE141" s="31">
        <v>69.85</v>
      </c>
      <c r="AF141" s="31"/>
      <c r="AG141" s="87"/>
      <c r="AH141" s="122"/>
      <c r="AI141" s="122"/>
      <c r="AJ141" s="122"/>
      <c r="AK141" s="122"/>
      <c r="AL141" s="122"/>
      <c r="AM141" s="122"/>
    </row>
    <row r="142" spans="21:39" s="85" customFormat="1" ht="24">
      <c r="U142" s="85">
        <v>40</v>
      </c>
      <c r="V142" s="89" t="s">
        <v>291</v>
      </c>
      <c r="W142" s="31" t="s">
        <v>292</v>
      </c>
      <c r="X142" s="31">
        <v>46</v>
      </c>
      <c r="Y142" s="3">
        <f t="shared" si="3"/>
        <v>812.8</v>
      </c>
      <c r="Z142" s="31">
        <v>32</v>
      </c>
      <c r="AA142" s="31">
        <f t="shared" si="1"/>
        <v>5506.72</v>
      </c>
      <c r="AB142" s="31">
        <v>216.8</v>
      </c>
      <c r="AC142" s="33">
        <f t="shared" si="2"/>
        <v>182.25</v>
      </c>
      <c r="AD142" s="31">
        <v>405</v>
      </c>
      <c r="AE142" s="31">
        <v>69.85</v>
      </c>
      <c r="AF142" s="31"/>
      <c r="AG142" s="87"/>
      <c r="AH142" s="122"/>
      <c r="AI142" s="122"/>
      <c r="AJ142" s="122"/>
      <c r="AK142" s="122"/>
      <c r="AL142" s="122"/>
      <c r="AM142" s="122"/>
    </row>
    <row r="143" spans="21:39" s="85" customFormat="1" ht="12">
      <c r="U143" s="85">
        <v>41</v>
      </c>
      <c r="V143" s="87" t="s">
        <v>219</v>
      </c>
      <c r="W143" s="3" t="s">
        <v>293</v>
      </c>
      <c r="X143" s="3">
        <v>46</v>
      </c>
      <c r="Y143" s="3">
        <f t="shared" si="3"/>
        <v>868.6800000000001</v>
      </c>
      <c r="Z143" s="3">
        <v>34.2</v>
      </c>
      <c r="AA143" s="31">
        <f t="shared" si="1"/>
        <v>5588</v>
      </c>
      <c r="AB143" s="3">
        <v>220</v>
      </c>
      <c r="AC143" s="33">
        <f t="shared" si="2"/>
        <v>117.45</v>
      </c>
      <c r="AD143" s="31">
        <v>261</v>
      </c>
      <c r="AE143" s="31">
        <v>69.85</v>
      </c>
      <c r="AF143" s="31"/>
      <c r="AG143" s="87"/>
      <c r="AH143" s="122"/>
      <c r="AI143" s="122"/>
      <c r="AJ143" s="122"/>
      <c r="AK143" s="122"/>
      <c r="AL143" s="122"/>
      <c r="AM143" s="122"/>
    </row>
    <row r="144" spans="21:39" s="85" customFormat="1" ht="12">
      <c r="U144" s="85">
        <v>42</v>
      </c>
      <c r="V144" s="87" t="s">
        <v>281</v>
      </c>
      <c r="W144" s="3" t="s">
        <v>294</v>
      </c>
      <c r="X144" s="3">
        <v>46</v>
      </c>
      <c r="Y144" s="3">
        <f t="shared" si="3"/>
        <v>840.74</v>
      </c>
      <c r="Z144" s="3">
        <v>33.1</v>
      </c>
      <c r="AA144" s="31">
        <f t="shared" si="1"/>
        <v>5588</v>
      </c>
      <c r="AB144" s="3">
        <v>220</v>
      </c>
      <c r="AC144" s="33">
        <f t="shared" si="2"/>
        <v>143.1</v>
      </c>
      <c r="AD144" s="3">
        <v>318</v>
      </c>
      <c r="AE144" s="31">
        <v>69.85</v>
      </c>
      <c r="AF144" s="3"/>
      <c r="AG144" s="87"/>
      <c r="AH144" s="122"/>
      <c r="AI144" s="122"/>
      <c r="AJ144" s="122"/>
      <c r="AK144" s="122"/>
      <c r="AL144" s="122"/>
      <c r="AM144" s="122"/>
    </row>
    <row r="145" spans="21:39" s="85" customFormat="1" ht="12">
      <c r="U145" s="85">
        <v>43</v>
      </c>
      <c r="V145" s="87" t="s">
        <v>281</v>
      </c>
      <c r="W145" s="66" t="s">
        <v>295</v>
      </c>
      <c r="X145" s="66">
        <v>46</v>
      </c>
      <c r="Y145" s="3">
        <f t="shared" si="3"/>
        <v>835.66</v>
      </c>
      <c r="Z145" s="66">
        <v>32.9</v>
      </c>
      <c r="AA145" s="31">
        <f t="shared" si="1"/>
        <v>5524.5</v>
      </c>
      <c r="AB145" s="66">
        <v>217.5</v>
      </c>
      <c r="AC145" s="33">
        <f t="shared" si="2"/>
        <v>153.45000000000002</v>
      </c>
      <c r="AD145" s="66">
        <v>341</v>
      </c>
      <c r="AE145" s="31">
        <v>69.85</v>
      </c>
      <c r="AF145" s="66"/>
      <c r="AG145" s="87"/>
      <c r="AH145" s="122"/>
      <c r="AI145" s="122"/>
      <c r="AJ145" s="122"/>
      <c r="AK145" s="122"/>
      <c r="AL145" s="122"/>
      <c r="AM145" s="122"/>
    </row>
    <row r="146" spans="21:39" s="85" customFormat="1" ht="12">
      <c r="U146" s="85">
        <v>44</v>
      </c>
      <c r="V146" s="87" t="s">
        <v>281</v>
      </c>
      <c r="W146" s="3" t="s">
        <v>296</v>
      </c>
      <c r="X146" s="3">
        <v>46</v>
      </c>
      <c r="Y146" s="3">
        <f t="shared" si="3"/>
        <v>840.74</v>
      </c>
      <c r="Z146" s="3">
        <v>33.1</v>
      </c>
      <c r="AA146" s="31">
        <f t="shared" si="1"/>
        <v>5588</v>
      </c>
      <c r="AB146" s="3">
        <v>220</v>
      </c>
      <c r="AC146" s="33">
        <f t="shared" si="2"/>
        <v>143.1</v>
      </c>
      <c r="AD146" s="31">
        <v>318</v>
      </c>
      <c r="AE146" s="31">
        <v>69.85</v>
      </c>
      <c r="AF146" s="31"/>
      <c r="AG146" s="87"/>
      <c r="AH146" s="122"/>
      <c r="AI146" s="122"/>
      <c r="AJ146" s="122"/>
      <c r="AK146" s="122"/>
      <c r="AL146" s="122"/>
      <c r="AM146" s="122"/>
    </row>
    <row r="147" spans="21:39" s="85" customFormat="1" ht="12">
      <c r="U147" s="85">
        <v>45</v>
      </c>
      <c r="V147" s="87" t="s">
        <v>297</v>
      </c>
      <c r="W147" s="3" t="s">
        <v>298</v>
      </c>
      <c r="X147" s="3">
        <v>46</v>
      </c>
      <c r="Y147" s="3">
        <f t="shared" si="3"/>
        <v>855.98</v>
      </c>
      <c r="Z147" s="3">
        <v>33.7</v>
      </c>
      <c r="AA147" s="31">
        <f t="shared" si="1"/>
        <v>5588</v>
      </c>
      <c r="AB147" s="3">
        <v>220</v>
      </c>
      <c r="AC147" s="33">
        <f t="shared" si="2"/>
        <v>171.9</v>
      </c>
      <c r="AD147" s="31">
        <v>382</v>
      </c>
      <c r="AE147" s="31">
        <v>69.85</v>
      </c>
      <c r="AF147" s="31"/>
      <c r="AG147" s="87"/>
      <c r="AH147" s="122"/>
      <c r="AI147" s="122"/>
      <c r="AJ147" s="122"/>
      <c r="AK147" s="122"/>
      <c r="AL147" s="122"/>
      <c r="AM147" s="122"/>
    </row>
    <row r="148" spans="21:39" s="85" customFormat="1" ht="12">
      <c r="U148" s="85">
        <v>46</v>
      </c>
      <c r="V148" s="87" t="s">
        <v>297</v>
      </c>
      <c r="W148" s="3" t="s">
        <v>299</v>
      </c>
      <c r="X148" s="3">
        <v>46</v>
      </c>
      <c r="Y148" s="3">
        <f t="shared" si="3"/>
        <v>855.98</v>
      </c>
      <c r="Z148" s="3">
        <v>33.7</v>
      </c>
      <c r="AA148" s="31">
        <f t="shared" si="1"/>
        <v>5537.2</v>
      </c>
      <c r="AB148" s="3">
        <v>218</v>
      </c>
      <c r="AC148" s="33">
        <f t="shared" si="2"/>
        <v>148.05</v>
      </c>
      <c r="AD148" s="3">
        <v>329</v>
      </c>
      <c r="AE148" s="31">
        <v>69.85</v>
      </c>
      <c r="AF148" s="3"/>
      <c r="AG148" s="87"/>
      <c r="AH148" s="122"/>
      <c r="AI148" s="122"/>
      <c r="AJ148" s="122"/>
      <c r="AK148" s="122"/>
      <c r="AL148" s="122"/>
      <c r="AM148" s="122"/>
    </row>
    <row r="149" spans="21:39" s="85" customFormat="1" ht="12">
      <c r="U149" s="85">
        <v>47</v>
      </c>
      <c r="V149" s="87" t="s">
        <v>300</v>
      </c>
      <c r="W149" s="66" t="s">
        <v>160</v>
      </c>
      <c r="X149" s="66">
        <v>46</v>
      </c>
      <c r="Y149" s="3">
        <f t="shared" si="3"/>
        <v>822.9599999999999</v>
      </c>
      <c r="Z149" s="66">
        <v>32.4</v>
      </c>
      <c r="AA149" s="31">
        <f t="shared" si="1"/>
        <v>5537.2</v>
      </c>
      <c r="AB149" s="66">
        <v>218</v>
      </c>
      <c r="AC149" s="33">
        <f t="shared" si="2"/>
        <v>243.9</v>
      </c>
      <c r="AD149" s="66">
        <v>542</v>
      </c>
      <c r="AE149" s="66">
        <v>90</v>
      </c>
      <c r="AF149" s="66"/>
      <c r="AG149" s="87"/>
      <c r="AH149" s="122"/>
      <c r="AI149" s="122"/>
      <c r="AJ149" s="122"/>
      <c r="AK149" s="122"/>
      <c r="AL149" s="122"/>
      <c r="AM149" s="122"/>
    </row>
    <row r="150" spans="21:39" s="85" customFormat="1" ht="12">
      <c r="U150" s="85">
        <v>48</v>
      </c>
      <c r="V150" s="87" t="s">
        <v>301</v>
      </c>
      <c r="W150" s="3" t="s">
        <v>302</v>
      </c>
      <c r="X150" s="3">
        <v>46</v>
      </c>
      <c r="Y150" s="3">
        <f t="shared" si="3"/>
        <v>866.14</v>
      </c>
      <c r="Z150" s="3">
        <v>34.1</v>
      </c>
      <c r="AA150" s="31">
        <f t="shared" si="1"/>
        <v>5638.799999999999</v>
      </c>
      <c r="AB150" s="3">
        <v>222</v>
      </c>
      <c r="AC150" s="33">
        <f t="shared" si="2"/>
        <v>227.25</v>
      </c>
      <c r="AD150" s="31">
        <v>505</v>
      </c>
      <c r="AE150" s="3">
        <v>90</v>
      </c>
      <c r="AF150" s="31"/>
      <c r="AG150" s="87"/>
      <c r="AH150" s="122"/>
      <c r="AI150" s="122"/>
      <c r="AJ150" s="122"/>
      <c r="AK150" s="122"/>
      <c r="AL150" s="122"/>
      <c r="AM150" s="122"/>
    </row>
    <row r="151" spans="21:39" s="85" customFormat="1" ht="12">
      <c r="U151" s="85">
        <v>49</v>
      </c>
      <c r="V151" s="87" t="s">
        <v>219</v>
      </c>
      <c r="W151" s="3" t="s">
        <v>303</v>
      </c>
      <c r="X151" s="3">
        <v>46</v>
      </c>
      <c r="Y151" s="3">
        <f t="shared" si="3"/>
        <v>861.06</v>
      </c>
      <c r="Z151" s="3">
        <v>33.9</v>
      </c>
      <c r="AA151" s="31">
        <f t="shared" si="1"/>
        <v>5588</v>
      </c>
      <c r="AB151" s="3">
        <v>220</v>
      </c>
      <c r="AC151" s="33">
        <f t="shared" si="2"/>
        <v>117.45</v>
      </c>
      <c r="AD151" s="31">
        <v>261</v>
      </c>
      <c r="AE151" s="3">
        <v>59.42</v>
      </c>
      <c r="AF151" s="31"/>
      <c r="AG151" s="87"/>
      <c r="AH151" s="122"/>
      <c r="AI151" s="122"/>
      <c r="AJ151" s="122"/>
      <c r="AK151" s="122"/>
      <c r="AL151" s="122"/>
      <c r="AM151" s="122"/>
    </row>
    <row r="152" spans="20:39" s="85" customFormat="1" ht="12">
      <c r="T152" s="99" t="s">
        <v>304</v>
      </c>
      <c r="U152" s="85">
        <v>50</v>
      </c>
      <c r="V152" s="87" t="s">
        <v>219</v>
      </c>
      <c r="W152" s="3" t="s">
        <v>305</v>
      </c>
      <c r="X152" s="3">
        <v>46</v>
      </c>
      <c r="Y152" s="3">
        <f t="shared" si="3"/>
        <v>861.06</v>
      </c>
      <c r="Z152" s="3">
        <v>33.9</v>
      </c>
      <c r="AA152" s="31">
        <f t="shared" si="1"/>
        <v>5588</v>
      </c>
      <c r="AB152" s="3">
        <v>220</v>
      </c>
      <c r="AC152" s="33">
        <f t="shared" si="2"/>
        <v>117.45</v>
      </c>
      <c r="AD152" s="31">
        <v>261</v>
      </c>
      <c r="AE152" s="3">
        <v>59.42</v>
      </c>
      <c r="AF152" s="31"/>
      <c r="AG152" s="87"/>
      <c r="AH152" s="122"/>
      <c r="AI152" s="122"/>
      <c r="AJ152" s="122"/>
      <c r="AK152" s="122"/>
      <c r="AL152" s="122"/>
      <c r="AM152" s="122"/>
    </row>
    <row r="153" spans="20:39" s="85" customFormat="1" ht="36">
      <c r="T153" s="98" t="s">
        <v>218</v>
      </c>
      <c r="U153" s="85">
        <v>51</v>
      </c>
      <c r="V153" s="87" t="s">
        <v>281</v>
      </c>
      <c r="W153" s="3" t="s">
        <v>306</v>
      </c>
      <c r="X153" s="3">
        <v>46</v>
      </c>
      <c r="Y153" s="3">
        <f t="shared" si="3"/>
        <v>835.66</v>
      </c>
      <c r="Z153" s="3">
        <v>32.9</v>
      </c>
      <c r="AA153" s="31">
        <f t="shared" si="1"/>
        <v>5499.099999999999</v>
      </c>
      <c r="AB153" s="3">
        <v>216.5</v>
      </c>
      <c r="AC153" s="33">
        <f t="shared" si="2"/>
        <v>135</v>
      </c>
      <c r="AD153" s="31">
        <v>300</v>
      </c>
      <c r="AE153" s="31">
        <v>69.85</v>
      </c>
      <c r="AF153" s="31"/>
      <c r="AG153" s="87"/>
      <c r="AH153" s="122"/>
      <c r="AI153" s="122"/>
      <c r="AJ153" s="122"/>
      <c r="AK153" s="122"/>
      <c r="AL153" s="122"/>
      <c r="AM153" s="122"/>
    </row>
    <row r="154" spans="21:39" s="85" customFormat="1" ht="12">
      <c r="U154" s="85">
        <v>52</v>
      </c>
      <c r="V154" s="87" t="s">
        <v>307</v>
      </c>
      <c r="W154" s="3" t="s">
        <v>308</v>
      </c>
      <c r="X154" s="3">
        <v>46</v>
      </c>
      <c r="Y154" s="3">
        <f t="shared" si="3"/>
        <v>835.66</v>
      </c>
      <c r="Z154" s="3">
        <v>32.9</v>
      </c>
      <c r="AA154" s="31">
        <f t="shared" si="1"/>
        <v>5511.799999999999</v>
      </c>
      <c r="AB154" s="3">
        <v>217</v>
      </c>
      <c r="AC154" s="33">
        <f t="shared" si="2"/>
        <v>153.45000000000002</v>
      </c>
      <c r="AD154" s="31">
        <v>341</v>
      </c>
      <c r="AE154" s="31">
        <v>69.85</v>
      </c>
      <c r="AF154" s="31"/>
      <c r="AG154" s="87"/>
      <c r="AH154" s="122"/>
      <c r="AI154" s="122"/>
      <c r="AJ154" s="122"/>
      <c r="AK154" s="122"/>
      <c r="AL154" s="122"/>
      <c r="AM154" s="122"/>
    </row>
    <row r="155" spans="21:39" s="85" customFormat="1" ht="12">
      <c r="U155" s="85">
        <v>53</v>
      </c>
      <c r="V155" s="87" t="s">
        <v>297</v>
      </c>
      <c r="W155" s="3" t="s">
        <v>309</v>
      </c>
      <c r="X155" s="3">
        <v>46</v>
      </c>
      <c r="Y155" s="3">
        <f t="shared" si="3"/>
        <v>855.98</v>
      </c>
      <c r="Z155" s="3">
        <v>33.7</v>
      </c>
      <c r="AA155" s="31">
        <f t="shared" si="1"/>
        <v>5588</v>
      </c>
      <c r="AB155" s="3">
        <v>220</v>
      </c>
      <c r="AC155" s="33">
        <f t="shared" si="2"/>
        <v>171.9</v>
      </c>
      <c r="AD155" s="3">
        <v>382</v>
      </c>
      <c r="AE155" s="31">
        <v>69.85</v>
      </c>
      <c r="AF155" s="31"/>
      <c r="AG155" s="87"/>
      <c r="AH155" s="122"/>
      <c r="AI155" s="122"/>
      <c r="AJ155" s="122"/>
      <c r="AK155" s="122"/>
      <c r="AL155" s="122"/>
      <c r="AM155" s="122"/>
    </row>
    <row r="156" spans="21:39" s="85" customFormat="1" ht="12">
      <c r="U156" s="85">
        <v>54</v>
      </c>
      <c r="V156" s="87" t="s">
        <v>297</v>
      </c>
      <c r="W156" s="31" t="s">
        <v>310</v>
      </c>
      <c r="X156" s="31">
        <v>46</v>
      </c>
      <c r="Y156" s="3">
        <f t="shared" si="3"/>
        <v>858.5199999999999</v>
      </c>
      <c r="Z156" s="31">
        <v>33.8</v>
      </c>
      <c r="AA156" s="31">
        <f t="shared" si="1"/>
        <v>5537.2</v>
      </c>
      <c r="AB156" s="31">
        <v>218</v>
      </c>
      <c r="AC156" s="33">
        <f t="shared" si="2"/>
        <v>148.05</v>
      </c>
      <c r="AD156" s="66">
        <v>329</v>
      </c>
      <c r="AE156" s="31">
        <v>69.85</v>
      </c>
      <c r="AF156" s="66"/>
      <c r="AG156" s="87"/>
      <c r="AH156" s="122"/>
      <c r="AI156" s="122"/>
      <c r="AJ156" s="122"/>
      <c r="AK156" s="122"/>
      <c r="AL156" s="122"/>
      <c r="AM156" s="122"/>
    </row>
    <row r="157" spans="21:39" s="85" customFormat="1" ht="24">
      <c r="U157" s="85">
        <v>55</v>
      </c>
      <c r="V157" s="89" t="s">
        <v>285</v>
      </c>
      <c r="W157" s="66" t="s">
        <v>311</v>
      </c>
      <c r="X157" s="66">
        <v>46</v>
      </c>
      <c r="Y157" s="3">
        <f t="shared" si="3"/>
        <v>833.1199999999999</v>
      </c>
      <c r="Z157" s="66">
        <v>32.8</v>
      </c>
      <c r="AA157" s="31">
        <f t="shared" si="1"/>
        <v>5537.2</v>
      </c>
      <c r="AB157" s="66">
        <v>218</v>
      </c>
      <c r="AC157" s="33">
        <f t="shared" si="2"/>
        <v>189</v>
      </c>
      <c r="AD157" s="66">
        <v>420</v>
      </c>
      <c r="AE157" s="31">
        <v>69.85</v>
      </c>
      <c r="AF157" s="66"/>
      <c r="AG157" s="87"/>
      <c r="AH157" s="122"/>
      <c r="AI157" s="122"/>
      <c r="AJ157" s="122"/>
      <c r="AK157" s="122"/>
      <c r="AL157" s="122"/>
      <c r="AM157" s="122"/>
    </row>
    <row r="158" spans="21:39" s="85" customFormat="1" ht="12">
      <c r="U158" s="85">
        <v>56</v>
      </c>
      <c r="V158" s="87" t="s">
        <v>283</v>
      </c>
      <c r="W158" s="66" t="s">
        <v>312</v>
      </c>
      <c r="X158" s="66">
        <v>46</v>
      </c>
      <c r="Y158" s="3">
        <f t="shared" si="3"/>
        <v>845.8199999999999</v>
      </c>
      <c r="Z158" s="66">
        <v>33.3</v>
      </c>
      <c r="AA158" s="31">
        <f t="shared" si="1"/>
        <v>5537.2</v>
      </c>
      <c r="AB158" s="66">
        <v>218</v>
      </c>
      <c r="AC158" s="33">
        <f t="shared" si="2"/>
        <v>194.85</v>
      </c>
      <c r="AD158" s="66">
        <v>433</v>
      </c>
      <c r="AE158" s="31">
        <v>69.85</v>
      </c>
      <c r="AF158" s="66"/>
      <c r="AG158" s="87"/>
      <c r="AH158" s="122"/>
      <c r="AI158" s="122"/>
      <c r="AJ158" s="122"/>
      <c r="AK158" s="122"/>
      <c r="AL158" s="122"/>
      <c r="AM158" s="122"/>
    </row>
    <row r="159" spans="21:39" s="85" customFormat="1" ht="12">
      <c r="U159" s="85">
        <v>57</v>
      </c>
      <c r="V159" s="87" t="s">
        <v>287</v>
      </c>
      <c r="W159" s="66" t="s">
        <v>313</v>
      </c>
      <c r="X159" s="66">
        <v>46</v>
      </c>
      <c r="Y159" s="3">
        <f t="shared" si="3"/>
        <v>833.1199999999999</v>
      </c>
      <c r="Z159" s="66">
        <v>32.8</v>
      </c>
      <c r="AA159" s="31">
        <f t="shared" si="1"/>
        <v>5539.74</v>
      </c>
      <c r="AB159" s="66">
        <v>218.1</v>
      </c>
      <c r="AC159" s="33">
        <f t="shared" si="2"/>
        <v>178.605</v>
      </c>
      <c r="AD159" s="66">
        <v>396.9</v>
      </c>
      <c r="AE159" s="31">
        <v>69.85</v>
      </c>
      <c r="AF159" s="66"/>
      <c r="AG159" s="87"/>
      <c r="AH159" s="122"/>
      <c r="AI159" s="122"/>
      <c r="AJ159" s="122"/>
      <c r="AK159" s="122"/>
      <c r="AL159" s="122"/>
      <c r="AM159" s="122"/>
    </row>
    <row r="160" spans="20:39" s="85" customFormat="1" ht="12">
      <c r="T160" s="99" t="s">
        <v>314</v>
      </c>
      <c r="U160" s="85">
        <v>58</v>
      </c>
      <c r="V160" s="87" t="s">
        <v>277</v>
      </c>
      <c r="W160" s="66" t="s">
        <v>316</v>
      </c>
      <c r="X160" s="66" t="s">
        <v>233</v>
      </c>
      <c r="Y160" s="3">
        <f t="shared" si="3"/>
        <v>754.38</v>
      </c>
      <c r="Z160" s="66">
        <v>29.7</v>
      </c>
      <c r="AA160" s="31">
        <f t="shared" si="1"/>
        <v>5029.2</v>
      </c>
      <c r="AB160" s="66">
        <v>198</v>
      </c>
      <c r="AC160" s="33">
        <f t="shared" si="2"/>
        <v>175.95000000000002</v>
      </c>
      <c r="AD160" s="66">
        <v>391</v>
      </c>
      <c r="AE160" s="31">
        <v>69.85</v>
      </c>
      <c r="AF160" s="66"/>
      <c r="AG160" s="87"/>
      <c r="AH160" s="122"/>
      <c r="AI160" s="122"/>
      <c r="AJ160" s="122"/>
      <c r="AK160" s="122"/>
      <c r="AL160" s="122"/>
      <c r="AM160" s="122"/>
    </row>
    <row r="161" spans="20:39" s="85" customFormat="1" ht="12">
      <c r="T161" s="99" t="s">
        <v>315</v>
      </c>
      <c r="U161" s="85">
        <v>59</v>
      </c>
      <c r="V161" s="87" t="s">
        <v>317</v>
      </c>
      <c r="W161" s="66" t="s">
        <v>318</v>
      </c>
      <c r="X161" s="66">
        <v>44</v>
      </c>
      <c r="Y161" s="3">
        <f t="shared" si="3"/>
        <v>726.4399999999999</v>
      </c>
      <c r="Z161" s="66">
        <v>28.6</v>
      </c>
      <c r="AA161" s="31">
        <f t="shared" si="1"/>
        <v>4978.4</v>
      </c>
      <c r="AB161" s="66">
        <v>196</v>
      </c>
      <c r="AC161" s="33">
        <f t="shared" si="2"/>
        <v>119.25</v>
      </c>
      <c r="AD161" s="66">
        <v>265</v>
      </c>
      <c r="AE161" s="31">
        <v>69.85</v>
      </c>
      <c r="AF161" s="66"/>
      <c r="AG161" s="87"/>
      <c r="AH161" s="122"/>
      <c r="AI161" s="122"/>
      <c r="AJ161" s="122"/>
      <c r="AK161" s="122"/>
      <c r="AL161" s="122"/>
      <c r="AM161" s="122"/>
    </row>
    <row r="162" spans="20:39" s="85" customFormat="1" ht="24">
      <c r="T162" s="99" t="s">
        <v>319</v>
      </c>
      <c r="U162" s="85">
        <v>60</v>
      </c>
      <c r="V162" s="89" t="s">
        <v>320</v>
      </c>
      <c r="W162" s="66" t="s">
        <v>321</v>
      </c>
      <c r="X162" s="66">
        <v>45</v>
      </c>
      <c r="Y162" s="3">
        <f t="shared" si="3"/>
        <v>782.3199999999999</v>
      </c>
      <c r="Z162" s="66">
        <v>30.8</v>
      </c>
      <c r="AA162" s="31">
        <f aca="true" t="shared" si="4" ref="AA162:AA183">AB162*25.4</f>
        <v>5232.4</v>
      </c>
      <c r="AB162" s="66">
        <v>206</v>
      </c>
      <c r="AC162" s="33">
        <f aca="true" t="shared" si="5" ref="AC162:AC183">AD162*0.45</f>
        <v>164.25</v>
      </c>
      <c r="AD162" s="66">
        <v>365</v>
      </c>
      <c r="AE162" s="31">
        <v>69.85</v>
      </c>
      <c r="AF162" s="66"/>
      <c r="AG162" s="87"/>
      <c r="AH162" s="122"/>
      <c r="AI162" s="122"/>
      <c r="AJ162" s="122"/>
      <c r="AK162" s="122"/>
      <c r="AL162" s="122"/>
      <c r="AM162" s="122"/>
    </row>
    <row r="163" spans="21:39" s="85" customFormat="1" ht="12">
      <c r="U163" s="85">
        <v>61</v>
      </c>
      <c r="V163" s="87" t="s">
        <v>322</v>
      </c>
      <c r="W163" s="66" t="s">
        <v>323</v>
      </c>
      <c r="X163" s="66">
        <v>45</v>
      </c>
      <c r="Y163" s="3">
        <f t="shared" si="3"/>
        <v>789.9399999999999</v>
      </c>
      <c r="Z163" s="66">
        <v>31.1</v>
      </c>
      <c r="AA163" s="31">
        <f t="shared" si="4"/>
        <v>5156.2</v>
      </c>
      <c r="AB163" s="66">
        <v>203</v>
      </c>
      <c r="AC163" s="33">
        <f t="shared" si="5"/>
        <v>171.9</v>
      </c>
      <c r="AD163" s="66">
        <v>382</v>
      </c>
      <c r="AE163" s="31">
        <v>69.85</v>
      </c>
      <c r="AF163" s="66"/>
      <c r="AG163" s="87"/>
      <c r="AH163" s="122"/>
      <c r="AI163" s="122"/>
      <c r="AJ163" s="122"/>
      <c r="AK163" s="122"/>
      <c r="AL163" s="122"/>
      <c r="AM163" s="122"/>
    </row>
    <row r="164" spans="21:39" s="85" customFormat="1" ht="12">
      <c r="U164" s="85">
        <v>62</v>
      </c>
      <c r="V164" s="87" t="s">
        <v>264</v>
      </c>
      <c r="W164" s="66" t="s">
        <v>324</v>
      </c>
      <c r="X164" s="66">
        <v>45</v>
      </c>
      <c r="Y164" s="3">
        <f t="shared" si="3"/>
        <v>789.9399999999999</v>
      </c>
      <c r="Z164" s="66">
        <v>31.1</v>
      </c>
      <c r="AA164" s="31">
        <f t="shared" si="4"/>
        <v>5207</v>
      </c>
      <c r="AB164" s="66">
        <v>205</v>
      </c>
      <c r="AC164" s="33">
        <f t="shared" si="5"/>
        <v>175.5</v>
      </c>
      <c r="AD164" s="66">
        <v>390</v>
      </c>
      <c r="AE164" s="31">
        <v>69.85</v>
      </c>
      <c r="AF164" s="66"/>
      <c r="AG164" s="87"/>
      <c r="AH164" s="122"/>
      <c r="AI164" s="122"/>
      <c r="AJ164" s="122"/>
      <c r="AK164" s="122"/>
      <c r="AL164" s="122"/>
      <c r="AM164" s="122"/>
    </row>
    <row r="165" spans="21:39" s="85" customFormat="1" ht="12">
      <c r="U165" s="85">
        <v>63</v>
      </c>
      <c r="V165" s="87" t="s">
        <v>264</v>
      </c>
      <c r="W165" s="66" t="s">
        <v>325</v>
      </c>
      <c r="X165" s="66">
        <v>45</v>
      </c>
      <c r="Y165" s="3">
        <f t="shared" si="3"/>
        <v>789.9399999999999</v>
      </c>
      <c r="Z165" s="66">
        <v>31.1</v>
      </c>
      <c r="AA165" s="31">
        <f t="shared" si="4"/>
        <v>5207</v>
      </c>
      <c r="AB165" s="66">
        <v>205</v>
      </c>
      <c r="AC165" s="33">
        <f t="shared" si="5"/>
        <v>175.5</v>
      </c>
      <c r="AD165" s="66">
        <v>390</v>
      </c>
      <c r="AE165" s="31">
        <v>69.85</v>
      </c>
      <c r="AF165" s="66"/>
      <c r="AG165" s="87"/>
      <c r="AH165" s="122"/>
      <c r="AI165" s="122"/>
      <c r="AJ165" s="122"/>
      <c r="AK165" s="122"/>
      <c r="AL165" s="122"/>
      <c r="AM165" s="122"/>
    </row>
    <row r="166" spans="21:39" s="85" customFormat="1" ht="24">
      <c r="U166" s="85">
        <v>64</v>
      </c>
      <c r="V166" s="89" t="s">
        <v>326</v>
      </c>
      <c r="W166" s="66">
        <v>4208</v>
      </c>
      <c r="X166" s="66">
        <v>45</v>
      </c>
      <c r="Y166" s="3">
        <f t="shared" si="3"/>
        <v>782.3199999999999</v>
      </c>
      <c r="Z166" s="66">
        <v>30.8</v>
      </c>
      <c r="AA166" s="31">
        <f t="shared" si="4"/>
        <v>5232.4</v>
      </c>
      <c r="AB166" s="66">
        <v>206</v>
      </c>
      <c r="AC166" s="33">
        <f t="shared" si="5"/>
        <v>164.25</v>
      </c>
      <c r="AD166" s="66">
        <v>365</v>
      </c>
      <c r="AE166" s="31">
        <v>69.85</v>
      </c>
      <c r="AF166" s="66"/>
      <c r="AG166" s="87"/>
      <c r="AH166" s="122"/>
      <c r="AI166" s="122"/>
      <c r="AJ166" s="122"/>
      <c r="AK166" s="122"/>
      <c r="AL166" s="122"/>
      <c r="AM166" s="122"/>
    </row>
    <row r="167" spans="21:39" s="85" customFormat="1" ht="12">
      <c r="U167" s="85">
        <v>65</v>
      </c>
      <c r="V167" s="87" t="s">
        <v>214</v>
      </c>
      <c r="W167" s="66" t="s">
        <v>150</v>
      </c>
      <c r="X167" s="66">
        <v>45</v>
      </c>
      <c r="Y167" s="3">
        <f t="shared" si="3"/>
        <v>817.88</v>
      </c>
      <c r="Z167" s="66">
        <v>32.2</v>
      </c>
      <c r="AA167" s="31">
        <f t="shared" si="4"/>
        <v>5334</v>
      </c>
      <c r="AB167" s="66">
        <v>210</v>
      </c>
      <c r="AC167" s="33">
        <f t="shared" si="5"/>
        <v>111.15</v>
      </c>
      <c r="AD167" s="66">
        <v>247</v>
      </c>
      <c r="AE167" s="66">
        <v>59.42</v>
      </c>
      <c r="AF167" s="66"/>
      <c r="AG167" s="87"/>
      <c r="AH167" s="122"/>
      <c r="AI167" s="122"/>
      <c r="AJ167" s="122"/>
      <c r="AK167" s="122"/>
      <c r="AL167" s="122"/>
      <c r="AM167" s="122"/>
    </row>
    <row r="168" spans="21:39" s="85" customFormat="1" ht="12">
      <c r="U168" s="85">
        <v>66</v>
      </c>
      <c r="V168" s="87" t="s">
        <v>216</v>
      </c>
      <c r="W168" s="66" t="s">
        <v>327</v>
      </c>
      <c r="X168" s="66">
        <v>45</v>
      </c>
      <c r="Y168" s="3">
        <f aca="true" t="shared" si="6" ref="Y168:Y183">Z168*25.4</f>
        <v>828.04</v>
      </c>
      <c r="Z168" s="66">
        <v>32.6</v>
      </c>
      <c r="AA168" s="31">
        <f t="shared" si="4"/>
        <v>5410.2</v>
      </c>
      <c r="AB168" s="66">
        <v>213</v>
      </c>
      <c r="AC168" s="33">
        <f t="shared" si="5"/>
        <v>138.6</v>
      </c>
      <c r="AD168" s="66">
        <v>308</v>
      </c>
      <c r="AE168" s="31">
        <v>69.85</v>
      </c>
      <c r="AF168" s="66"/>
      <c r="AG168" s="87"/>
      <c r="AH168" s="122"/>
      <c r="AI168" s="122"/>
      <c r="AJ168" s="122"/>
      <c r="AK168" s="122"/>
      <c r="AL168" s="122"/>
      <c r="AM168" s="122"/>
    </row>
    <row r="169" spans="21:39" s="85" customFormat="1" ht="12">
      <c r="U169" s="85">
        <v>67</v>
      </c>
      <c r="V169" s="87" t="s">
        <v>328</v>
      </c>
      <c r="W169" s="66" t="s">
        <v>329</v>
      </c>
      <c r="X169" s="66">
        <v>45</v>
      </c>
      <c r="Y169" s="3">
        <f t="shared" si="6"/>
        <v>789.9399999999999</v>
      </c>
      <c r="Z169" s="66">
        <v>31.1</v>
      </c>
      <c r="AA169" s="31">
        <f t="shared" si="4"/>
        <v>5207</v>
      </c>
      <c r="AB169" s="66">
        <v>205</v>
      </c>
      <c r="AC169" s="33">
        <f t="shared" si="5"/>
        <v>149.85</v>
      </c>
      <c r="AD169" s="66">
        <v>333</v>
      </c>
      <c r="AE169" s="31">
        <v>69.85</v>
      </c>
      <c r="AF169" s="66"/>
      <c r="AG169" s="87"/>
      <c r="AH169" s="122"/>
      <c r="AI169" s="122"/>
      <c r="AJ169" s="122"/>
      <c r="AK169" s="122"/>
      <c r="AL169" s="122"/>
      <c r="AM169" s="122"/>
    </row>
    <row r="170" spans="21:39" s="85" customFormat="1" ht="12">
      <c r="U170" s="85">
        <v>68</v>
      </c>
      <c r="V170" s="87" t="s">
        <v>264</v>
      </c>
      <c r="W170" s="3" t="s">
        <v>330</v>
      </c>
      <c r="X170" s="3">
        <v>45</v>
      </c>
      <c r="Y170" s="3">
        <f t="shared" si="6"/>
        <v>789.9399999999999</v>
      </c>
      <c r="Z170" s="3">
        <v>31.1</v>
      </c>
      <c r="AA170" s="31">
        <f t="shared" si="4"/>
        <v>5156.2</v>
      </c>
      <c r="AB170" s="3">
        <v>203</v>
      </c>
      <c r="AC170" s="33">
        <f t="shared" si="5"/>
        <v>171.9</v>
      </c>
      <c r="AD170" s="3">
        <v>382</v>
      </c>
      <c r="AE170" s="31">
        <v>69.85</v>
      </c>
      <c r="AF170" s="31"/>
      <c r="AG170" s="87"/>
      <c r="AH170" s="122"/>
      <c r="AI170" s="122"/>
      <c r="AJ170" s="122"/>
      <c r="AK170" s="122"/>
      <c r="AL170" s="122"/>
      <c r="AM170" s="122"/>
    </row>
    <row r="171" spans="21:39" s="85" customFormat="1" ht="24">
      <c r="U171" s="85">
        <v>69</v>
      </c>
      <c r="V171" s="89" t="s">
        <v>320</v>
      </c>
      <c r="W171" s="3" t="s">
        <v>331</v>
      </c>
      <c r="X171" s="3">
        <v>45</v>
      </c>
      <c r="Y171" s="3">
        <f t="shared" si="6"/>
        <v>782.3199999999999</v>
      </c>
      <c r="Z171" s="3">
        <v>30.8</v>
      </c>
      <c r="AA171" s="31">
        <f t="shared" si="4"/>
        <v>5232.4</v>
      </c>
      <c r="AB171" s="3">
        <v>206</v>
      </c>
      <c r="AC171" s="33">
        <f t="shared" si="5"/>
        <v>164.25</v>
      </c>
      <c r="AD171" s="3">
        <v>365</v>
      </c>
      <c r="AE171" s="31">
        <v>69.85</v>
      </c>
      <c r="AF171" s="31"/>
      <c r="AG171" s="87"/>
      <c r="AH171" s="122"/>
      <c r="AI171" s="122"/>
      <c r="AJ171" s="122"/>
      <c r="AK171" s="122"/>
      <c r="AL171" s="122"/>
      <c r="AM171" s="122"/>
    </row>
    <row r="172" spans="21:39" s="85" customFormat="1" ht="12">
      <c r="U172" s="85">
        <v>70</v>
      </c>
      <c r="V172" s="87" t="s">
        <v>216</v>
      </c>
      <c r="W172" s="3" t="s">
        <v>332</v>
      </c>
      <c r="X172" s="3">
        <v>45</v>
      </c>
      <c r="Y172" s="3">
        <f t="shared" si="6"/>
        <v>828.04</v>
      </c>
      <c r="Z172" s="3">
        <v>32.6</v>
      </c>
      <c r="AA172" s="31">
        <f t="shared" si="4"/>
        <v>5410.2</v>
      </c>
      <c r="AB172" s="3">
        <v>213</v>
      </c>
      <c r="AC172" s="33">
        <f t="shared" si="5"/>
        <v>138.6</v>
      </c>
      <c r="AD172" s="3">
        <v>308</v>
      </c>
      <c r="AE172" s="31">
        <v>69.85</v>
      </c>
      <c r="AF172" s="31"/>
      <c r="AG172" s="87"/>
      <c r="AH172" s="122"/>
      <c r="AI172" s="122"/>
      <c r="AJ172" s="122"/>
      <c r="AK172" s="122"/>
      <c r="AL172" s="122"/>
      <c r="AM172" s="122"/>
    </row>
    <row r="173" spans="20:39" s="85" customFormat="1" ht="36">
      <c r="T173" s="98" t="s">
        <v>333</v>
      </c>
      <c r="U173" s="85">
        <v>71</v>
      </c>
      <c r="V173" s="87" t="s">
        <v>275</v>
      </c>
      <c r="W173" s="3" t="s">
        <v>334</v>
      </c>
      <c r="X173" s="3">
        <v>47</v>
      </c>
      <c r="Y173" s="3">
        <f t="shared" si="6"/>
        <v>909.3199999999998</v>
      </c>
      <c r="Z173" s="3">
        <v>35.8</v>
      </c>
      <c r="AA173" s="31">
        <f t="shared" si="4"/>
        <v>5918.2</v>
      </c>
      <c r="AB173" s="3">
        <v>233</v>
      </c>
      <c r="AC173" s="33">
        <f t="shared" si="5"/>
        <v>133.65</v>
      </c>
      <c r="AD173" s="3">
        <v>297</v>
      </c>
      <c r="AE173" s="31">
        <v>69.85</v>
      </c>
      <c r="AF173" s="31"/>
      <c r="AG173" s="87"/>
      <c r="AH173" s="122"/>
      <c r="AI173" s="122"/>
      <c r="AJ173" s="122"/>
      <c r="AK173" s="122"/>
      <c r="AL173" s="122"/>
      <c r="AM173" s="122"/>
    </row>
    <row r="174" spans="21:39" s="85" customFormat="1" ht="12">
      <c r="U174" s="85">
        <v>72</v>
      </c>
      <c r="V174" s="87" t="s">
        <v>335</v>
      </c>
      <c r="W174" s="3" t="s">
        <v>336</v>
      </c>
      <c r="X174" s="3">
        <v>47</v>
      </c>
      <c r="Y174" s="3">
        <f t="shared" si="6"/>
        <v>1356.36</v>
      </c>
      <c r="Z174" s="3">
        <v>53.4</v>
      </c>
      <c r="AA174" s="31">
        <f t="shared" si="4"/>
        <v>5842</v>
      </c>
      <c r="AB174" s="3">
        <v>230</v>
      </c>
      <c r="AC174" s="33">
        <f t="shared" si="5"/>
        <v>149.4</v>
      </c>
      <c r="AD174" s="3">
        <v>332</v>
      </c>
      <c r="AE174" s="31">
        <v>69.85</v>
      </c>
      <c r="AF174" s="31"/>
      <c r="AG174" s="87"/>
      <c r="AH174" s="122"/>
      <c r="AI174" s="122"/>
      <c r="AJ174" s="122"/>
      <c r="AK174" s="122"/>
      <c r="AL174" s="122"/>
      <c r="AM174" s="122"/>
    </row>
    <row r="175" spans="21:39" s="85" customFormat="1" ht="12">
      <c r="U175" s="85">
        <v>73</v>
      </c>
      <c r="V175" s="87" t="s">
        <v>337</v>
      </c>
      <c r="W175" s="3" t="s">
        <v>338</v>
      </c>
      <c r="X175" s="3">
        <v>47</v>
      </c>
      <c r="Y175" s="3">
        <f t="shared" si="6"/>
        <v>883.9199999999998</v>
      </c>
      <c r="Z175" s="3">
        <v>34.8</v>
      </c>
      <c r="AA175" s="31">
        <f t="shared" si="4"/>
        <v>5867.4</v>
      </c>
      <c r="AB175" s="3">
        <v>231</v>
      </c>
      <c r="AC175" s="33">
        <f t="shared" si="5"/>
        <v>206.55</v>
      </c>
      <c r="AD175" s="3">
        <v>459</v>
      </c>
      <c r="AE175" s="3">
        <v>90</v>
      </c>
      <c r="AF175" s="31"/>
      <c r="AG175" s="87"/>
      <c r="AH175" s="122"/>
      <c r="AI175" s="122"/>
      <c r="AJ175" s="122"/>
      <c r="AK175" s="122"/>
      <c r="AL175" s="122"/>
      <c r="AM175" s="122"/>
    </row>
    <row r="176" spans="21:39" s="85" customFormat="1" ht="12">
      <c r="U176" s="85">
        <v>74</v>
      </c>
      <c r="V176" s="87" t="s">
        <v>339</v>
      </c>
      <c r="W176" s="3" t="s">
        <v>340</v>
      </c>
      <c r="X176" s="3">
        <v>47</v>
      </c>
      <c r="Y176" s="3">
        <f t="shared" si="6"/>
        <v>871.2199999999999</v>
      </c>
      <c r="Z176" s="3">
        <v>34.3</v>
      </c>
      <c r="AA176" s="31">
        <f t="shared" si="4"/>
        <v>5791.2</v>
      </c>
      <c r="AB176" s="3">
        <v>228</v>
      </c>
      <c r="AC176" s="33">
        <f t="shared" si="5"/>
        <v>221.4</v>
      </c>
      <c r="AD176" s="3">
        <v>492</v>
      </c>
      <c r="AE176" s="3">
        <v>90</v>
      </c>
      <c r="AF176" s="31"/>
      <c r="AG176" s="87"/>
      <c r="AH176" s="122"/>
      <c r="AI176" s="122"/>
      <c r="AJ176" s="122"/>
      <c r="AK176" s="122"/>
      <c r="AL176" s="122"/>
      <c r="AM176" s="122"/>
    </row>
    <row r="177" spans="21:39" s="85" customFormat="1" ht="12">
      <c r="U177" s="85">
        <v>75</v>
      </c>
      <c r="V177" s="87" t="s">
        <v>341</v>
      </c>
      <c r="W177" s="3" t="s">
        <v>342</v>
      </c>
      <c r="X177" s="3">
        <v>47</v>
      </c>
      <c r="Y177" s="3">
        <f t="shared" si="6"/>
        <v>924.56</v>
      </c>
      <c r="Z177" s="3">
        <v>36.4</v>
      </c>
      <c r="AA177" s="31">
        <f t="shared" si="4"/>
        <v>5969</v>
      </c>
      <c r="AB177" s="3">
        <v>235</v>
      </c>
      <c r="AC177" s="33">
        <f t="shared" si="5"/>
        <v>242.1</v>
      </c>
      <c r="AD177" s="3">
        <v>538</v>
      </c>
      <c r="AE177" s="3">
        <v>90</v>
      </c>
      <c r="AF177" s="31"/>
      <c r="AG177" s="87"/>
      <c r="AH177" s="122"/>
      <c r="AI177" s="122"/>
      <c r="AJ177" s="122"/>
      <c r="AK177" s="122"/>
      <c r="AL177" s="122"/>
      <c r="AM177" s="122"/>
    </row>
    <row r="178" spans="21:39" s="85" customFormat="1" ht="12">
      <c r="U178" s="85">
        <v>76</v>
      </c>
      <c r="V178" s="87" t="s">
        <v>343</v>
      </c>
      <c r="W178" s="31" t="s">
        <v>344</v>
      </c>
      <c r="X178" s="31">
        <v>47</v>
      </c>
      <c r="Y178" s="3">
        <f t="shared" si="6"/>
        <v>894.08</v>
      </c>
      <c r="Z178" s="31">
        <v>35.2</v>
      </c>
      <c r="AA178" s="31">
        <f t="shared" si="4"/>
        <v>5892.799999999999</v>
      </c>
      <c r="AB178" s="31">
        <v>232</v>
      </c>
      <c r="AC178" s="33">
        <f t="shared" si="5"/>
        <v>277.2</v>
      </c>
      <c r="AD178" s="66">
        <v>616</v>
      </c>
      <c r="AE178" s="66">
        <v>90</v>
      </c>
      <c r="AF178" s="66"/>
      <c r="AG178" s="87"/>
      <c r="AH178" s="122"/>
      <c r="AI178" s="122"/>
      <c r="AJ178" s="122"/>
      <c r="AK178" s="122"/>
      <c r="AL178" s="122"/>
      <c r="AM178" s="122"/>
    </row>
    <row r="179" spans="21:39" s="85" customFormat="1" ht="12">
      <c r="U179" s="85">
        <v>77</v>
      </c>
      <c r="V179" s="87" t="s">
        <v>345</v>
      </c>
      <c r="W179" s="66" t="s">
        <v>346</v>
      </c>
      <c r="X179" s="66">
        <v>47</v>
      </c>
      <c r="Y179" s="3">
        <f t="shared" si="6"/>
        <v>863.5999999999999</v>
      </c>
      <c r="Z179" s="66">
        <v>34</v>
      </c>
      <c r="AA179" s="31">
        <f t="shared" si="4"/>
        <v>5765.799999999999</v>
      </c>
      <c r="AB179" s="66">
        <v>227</v>
      </c>
      <c r="AC179" s="33">
        <f t="shared" si="5"/>
        <v>370.35</v>
      </c>
      <c r="AD179" s="66">
        <v>823</v>
      </c>
      <c r="AE179" s="66">
        <v>90</v>
      </c>
      <c r="AF179" s="66"/>
      <c r="AG179" s="87"/>
      <c r="AH179" s="122"/>
      <c r="AI179" s="122"/>
      <c r="AJ179" s="122"/>
      <c r="AK179" s="122"/>
      <c r="AL179" s="122"/>
      <c r="AM179" s="122"/>
    </row>
    <row r="180" spans="21:39" s="85" customFormat="1" ht="12">
      <c r="U180" s="85">
        <v>78</v>
      </c>
      <c r="V180" s="87" t="s">
        <v>345</v>
      </c>
      <c r="W180" s="3" t="s">
        <v>347</v>
      </c>
      <c r="X180" s="3">
        <v>47</v>
      </c>
      <c r="Y180" s="3">
        <f t="shared" si="6"/>
        <v>855.98</v>
      </c>
      <c r="Z180" s="3">
        <v>33.7</v>
      </c>
      <c r="AA180" s="31">
        <f t="shared" si="4"/>
        <v>5755.639999999999</v>
      </c>
      <c r="AB180" s="3">
        <v>226.6</v>
      </c>
      <c r="AC180" s="33">
        <f t="shared" si="5"/>
        <v>294.705</v>
      </c>
      <c r="AD180" s="31">
        <v>654.9</v>
      </c>
      <c r="AE180" s="3">
        <v>90</v>
      </c>
      <c r="AF180" s="31"/>
      <c r="AG180" s="87"/>
      <c r="AH180" s="122"/>
      <c r="AI180" s="122"/>
      <c r="AJ180" s="122"/>
      <c r="AK180" s="122"/>
      <c r="AL180" s="122"/>
      <c r="AM180" s="122"/>
    </row>
    <row r="181" spans="21:39" s="85" customFormat="1" ht="12">
      <c r="U181" s="85">
        <v>79</v>
      </c>
      <c r="V181" s="87" t="s">
        <v>348</v>
      </c>
      <c r="W181" s="3" t="s">
        <v>349</v>
      </c>
      <c r="X181" s="3">
        <v>47</v>
      </c>
      <c r="Y181" s="3">
        <f t="shared" si="6"/>
        <v>876.3</v>
      </c>
      <c r="Z181" s="3">
        <v>34.5</v>
      </c>
      <c r="AA181" s="31">
        <f t="shared" si="4"/>
        <v>5791.2</v>
      </c>
      <c r="AB181" s="3">
        <v>228</v>
      </c>
      <c r="AC181" s="33">
        <f t="shared" si="5"/>
        <v>237.6</v>
      </c>
      <c r="AD181" s="31">
        <v>528</v>
      </c>
      <c r="AE181" s="3">
        <v>90</v>
      </c>
      <c r="AF181" s="31"/>
      <c r="AG181" s="87"/>
      <c r="AH181" s="122"/>
      <c r="AI181" s="122"/>
      <c r="AJ181" s="122"/>
      <c r="AK181" s="122"/>
      <c r="AL181" s="122"/>
      <c r="AM181" s="122"/>
    </row>
    <row r="182" spans="21:39" s="85" customFormat="1" ht="12">
      <c r="U182" s="85">
        <v>80</v>
      </c>
      <c r="V182" s="87" t="s">
        <v>350</v>
      </c>
      <c r="W182" s="31" t="s">
        <v>351</v>
      </c>
      <c r="X182" s="31">
        <v>47</v>
      </c>
      <c r="Y182" s="3">
        <f t="shared" si="6"/>
        <v>871.2199999999999</v>
      </c>
      <c r="Z182" s="31">
        <v>34.3</v>
      </c>
      <c r="AA182" s="31">
        <f t="shared" si="4"/>
        <v>5791.2</v>
      </c>
      <c r="AB182" s="31">
        <v>228</v>
      </c>
      <c r="AC182" s="33">
        <f t="shared" si="5"/>
        <v>221.4</v>
      </c>
      <c r="AD182" s="66">
        <v>492</v>
      </c>
      <c r="AE182" s="66">
        <v>90</v>
      </c>
      <c r="AF182" s="66"/>
      <c r="AG182" s="87"/>
      <c r="AH182" s="122"/>
      <c r="AI182" s="122"/>
      <c r="AJ182" s="122"/>
      <c r="AK182" s="122"/>
      <c r="AL182" s="122"/>
      <c r="AM182" s="122"/>
    </row>
    <row r="183" spans="21:39" s="85" customFormat="1" ht="12">
      <c r="U183" s="85">
        <v>81</v>
      </c>
      <c r="V183" s="87" t="s">
        <v>352</v>
      </c>
      <c r="W183" s="66" t="s">
        <v>353</v>
      </c>
      <c r="X183" s="66">
        <v>47</v>
      </c>
      <c r="Y183" s="3">
        <f t="shared" si="6"/>
        <v>871.2199999999999</v>
      </c>
      <c r="Z183" s="66">
        <v>34.3</v>
      </c>
      <c r="AA183" s="31">
        <f t="shared" si="4"/>
        <v>5740.4</v>
      </c>
      <c r="AB183" s="66">
        <v>226</v>
      </c>
      <c r="AC183" s="33">
        <f t="shared" si="5"/>
        <v>271.8</v>
      </c>
      <c r="AD183" s="66">
        <v>604</v>
      </c>
      <c r="AE183" s="66">
        <v>90</v>
      </c>
      <c r="AF183" s="66"/>
      <c r="AG183" s="87"/>
      <c r="AH183" s="122"/>
      <c r="AI183" s="122"/>
      <c r="AJ183" s="122"/>
      <c r="AK183" s="122"/>
      <c r="AL183" s="122"/>
      <c r="AM183" s="122"/>
    </row>
    <row r="184" spans="22:65" ht="12">
      <c r="V184" s="25" t="s">
        <v>354</v>
      </c>
      <c r="W184" s="3"/>
      <c r="X184" s="3"/>
      <c r="Y184" s="3"/>
      <c r="Z184" s="3"/>
      <c r="AA184" s="3"/>
      <c r="AB184" s="3"/>
      <c r="AC184" s="3"/>
      <c r="AD184" s="31"/>
      <c r="AE184" s="3"/>
      <c r="AF184" s="31"/>
      <c r="AG184" s="87"/>
      <c r="AH184" s="122"/>
      <c r="AI184" s="122"/>
      <c r="AJ184" s="122"/>
      <c r="AK184" s="122"/>
      <c r="AL184" s="122"/>
      <c r="AM184" s="122"/>
      <c r="AN184" s="85"/>
      <c r="AO184" s="85"/>
      <c r="AP184" s="85"/>
      <c r="AQ184" s="85"/>
      <c r="AR184" s="85"/>
      <c r="AS184" s="85"/>
      <c r="AT184" s="85"/>
      <c r="AU184" s="85"/>
      <c r="AV184" s="85"/>
      <c r="AW184" s="85"/>
      <c r="AX184" s="85"/>
      <c r="AY184" s="85"/>
      <c r="AZ184" s="85"/>
      <c r="BA184" s="85"/>
      <c r="BB184" s="85"/>
      <c r="BC184" s="85"/>
      <c r="BD184" s="85"/>
      <c r="BE184" s="85"/>
      <c r="BF184" s="85"/>
      <c r="BG184" s="85"/>
      <c r="BH184" s="85"/>
      <c r="BI184" s="85"/>
      <c r="BJ184" s="85"/>
      <c r="BK184" s="85"/>
      <c r="BL184" s="85"/>
      <c r="BM184" s="85"/>
    </row>
    <row r="185" spans="22:65" ht="12">
      <c r="V185" s="25" t="s">
        <v>355</v>
      </c>
      <c r="W185" s="32" t="s">
        <v>356</v>
      </c>
      <c r="X185" s="25" t="s">
        <v>357</v>
      </c>
      <c r="Y185" s="25"/>
      <c r="Z185" s="25"/>
      <c r="AA185" s="25"/>
      <c r="AB185" s="32"/>
      <c r="AC185" s="32"/>
      <c r="AD185" s="25"/>
      <c r="AE185" s="25"/>
      <c r="AF185" s="25"/>
      <c r="AG185" s="87"/>
      <c r="AH185" s="122"/>
      <c r="AI185" s="122"/>
      <c r="AJ185" s="122"/>
      <c r="AK185" s="122"/>
      <c r="AL185" s="122"/>
      <c r="AM185" s="122"/>
      <c r="AN185" s="85"/>
      <c r="AO185" s="85"/>
      <c r="AP185" s="85"/>
      <c r="AQ185" s="85"/>
      <c r="AR185" s="85"/>
      <c r="AS185" s="85"/>
      <c r="AT185" s="85"/>
      <c r="AU185" s="85"/>
      <c r="AV185" s="85"/>
      <c r="AW185" s="85"/>
      <c r="AX185" s="85"/>
      <c r="AY185" s="85"/>
      <c r="AZ185" s="85"/>
      <c r="BA185" s="85"/>
      <c r="BB185" s="85"/>
      <c r="BC185" s="85"/>
      <c r="BD185" s="85"/>
      <c r="BE185" s="85"/>
      <c r="BF185" s="85"/>
      <c r="BG185" s="85"/>
      <c r="BH185" s="85"/>
      <c r="BI185" s="85"/>
      <c r="BJ185" s="85"/>
      <c r="BK185" s="85"/>
      <c r="BL185" s="85"/>
      <c r="BM185" s="85"/>
    </row>
    <row r="186" spans="22:65" ht="12" customHeight="1">
      <c r="V186" s="25" t="s">
        <v>358</v>
      </c>
      <c r="W186" s="32" t="s">
        <v>359</v>
      </c>
      <c r="X186" s="25" t="s">
        <v>357</v>
      </c>
      <c r="Y186" s="25"/>
      <c r="Z186" s="25"/>
      <c r="AA186" s="25"/>
      <c r="AB186" s="32"/>
      <c r="AC186" s="32"/>
      <c r="AD186" s="25"/>
      <c r="AE186" s="25"/>
      <c r="AF186" s="25"/>
      <c r="AG186" s="87"/>
      <c r="AH186" s="122"/>
      <c r="AI186" s="122"/>
      <c r="AJ186" s="122"/>
      <c r="AK186" s="122"/>
      <c r="AL186" s="122"/>
      <c r="AM186" s="122"/>
      <c r="AN186" s="85"/>
      <c r="AO186" s="85"/>
      <c r="AP186" s="85"/>
      <c r="AQ186" s="85"/>
      <c r="AR186" s="85"/>
      <c r="AS186" s="85"/>
      <c r="AT186" s="85"/>
      <c r="AU186" s="85"/>
      <c r="AV186" s="85"/>
      <c r="AW186" s="85"/>
      <c r="AX186" s="85"/>
      <c r="AY186" s="85"/>
      <c r="AZ186" s="85"/>
      <c r="BA186" s="85"/>
      <c r="BB186" s="85"/>
      <c r="BC186" s="85"/>
      <c r="BD186" s="85"/>
      <c r="BE186" s="85"/>
      <c r="BF186" s="85"/>
      <c r="BG186" s="85"/>
      <c r="BH186" s="85"/>
      <c r="BI186" s="85"/>
      <c r="BJ186" s="85"/>
      <c r="BK186" s="85"/>
      <c r="BL186" s="85"/>
      <c r="BM186" s="85"/>
    </row>
    <row r="187" spans="37:40" ht="12">
      <c r="AK187" s="122"/>
      <c r="AL187" s="122"/>
      <c r="AM187" s="122"/>
      <c r="AN187" s="85"/>
    </row>
    <row r="188" spans="34:40" ht="12">
      <c r="AH188" s="25" t="s">
        <v>456</v>
      </c>
      <c r="AI188" s="25"/>
      <c r="AK188" s="122"/>
      <c r="AL188" s="122"/>
      <c r="AM188" s="122"/>
      <c r="AN188" s="85"/>
    </row>
    <row r="189" spans="34:40" ht="12">
      <c r="AH189" s="25">
        <v>1</v>
      </c>
      <c r="AI189" s="25" t="s">
        <v>453</v>
      </c>
      <c r="AK189" s="122"/>
      <c r="AL189" s="122"/>
      <c r="AM189" s="122"/>
      <c r="AN189" s="85"/>
    </row>
    <row r="190" spans="34:40" ht="12">
      <c r="AH190" s="25">
        <v>2</v>
      </c>
      <c r="AI190" s="25" t="s">
        <v>457</v>
      </c>
      <c r="AK190" s="122"/>
      <c r="AL190" s="122"/>
      <c r="AM190" s="122"/>
      <c r="AN190" s="85"/>
    </row>
    <row r="191" spans="34:40" ht="12">
      <c r="AH191" s="97"/>
      <c r="AI191" s="97"/>
      <c r="AK191" s="122"/>
      <c r="AL191" s="122"/>
      <c r="AM191" s="122"/>
      <c r="AN191" s="85"/>
    </row>
    <row r="192" spans="34:40" ht="12">
      <c r="AH192" s="97"/>
      <c r="AI192" s="97"/>
      <c r="AJ192" s="25" t="s">
        <v>458</v>
      </c>
      <c r="AK192" s="87"/>
      <c r="AL192" s="122"/>
      <c r="AM192" s="122"/>
      <c r="AN192" s="85"/>
    </row>
    <row r="193" spans="34:40" ht="12">
      <c r="AH193" s="97"/>
      <c r="AI193" s="97"/>
      <c r="AJ193" s="25">
        <v>1</v>
      </c>
      <c r="AK193" s="123" t="s">
        <v>7</v>
      </c>
      <c r="AL193" s="122" t="str">
        <f>IF('Ballast Calculator'!D50=1,"---",'Drop down Options'!AK193)</f>
        <v>@ Ground</v>
      </c>
      <c r="AM193" s="122"/>
      <c r="AN193" s="85"/>
    </row>
    <row r="194" spans="34:40" ht="12">
      <c r="AH194" s="97"/>
      <c r="AI194" s="97"/>
      <c r="AJ194" s="25">
        <v>2</v>
      </c>
      <c r="AK194" s="123" t="s">
        <v>11</v>
      </c>
      <c r="AL194" s="122" t="str">
        <f>IF('Ballast Calculator'!D50=1,"---",'Drop down Options'!AK194)</f>
        <v>@ Mast Height</v>
      </c>
      <c r="AM194" s="122"/>
      <c r="AN194" s="85"/>
    </row>
    <row r="195" spans="34:40" ht="12">
      <c r="AH195" s="97"/>
      <c r="AI195" s="97"/>
      <c r="AJ195" s="25">
        <v>3</v>
      </c>
      <c r="AK195" s="123" t="s">
        <v>8</v>
      </c>
      <c r="AL195" s="122" t="str">
        <f>IF('Ballast Calculator'!D50=1,"---",'Drop down Options'!AK195)</f>
        <v>@ Full Height</v>
      </c>
      <c r="AM195" s="122"/>
      <c r="AN195" s="85"/>
    </row>
    <row r="196" spans="34:40" ht="12">
      <c r="AH196" s="97"/>
      <c r="AI196" s="97"/>
      <c r="AK196" s="122"/>
      <c r="AL196" s="122"/>
      <c r="AM196" s="122"/>
      <c r="AN196" s="85"/>
    </row>
    <row r="197" spans="30:74" ht="12">
      <c r="AD197" s="86"/>
      <c r="AE197" s="86"/>
      <c r="AK197" s="122"/>
      <c r="AL197" s="122"/>
      <c r="AM197" s="122"/>
      <c r="AN197" s="85"/>
      <c r="AO197" s="22"/>
      <c r="AP197" s="22"/>
      <c r="AQ197" s="22"/>
      <c r="AR197" s="23"/>
      <c r="AS197" s="23"/>
      <c r="AT197" s="23"/>
      <c r="AU197" s="23"/>
      <c r="AV197" s="23"/>
      <c r="AW197" s="23"/>
      <c r="AX197" s="24"/>
      <c r="AY197" s="61" t="s">
        <v>9</v>
      </c>
      <c r="AZ197" s="62"/>
      <c r="BA197" s="24"/>
      <c r="BB197" s="24"/>
      <c r="BC197" s="24"/>
      <c r="BD197" s="24"/>
      <c r="BE197" s="24"/>
      <c r="BF197" s="24"/>
      <c r="BG197" s="24"/>
      <c r="BH197" s="24"/>
      <c r="BI197" s="24"/>
      <c r="BJ197" s="24"/>
      <c r="BK197" s="24"/>
      <c r="BL197" s="24"/>
      <c r="BM197" s="24"/>
      <c r="BN197" s="24"/>
      <c r="BO197" s="24"/>
      <c r="BP197" s="160"/>
      <c r="BQ197" s="24"/>
      <c r="BR197" s="24"/>
      <c r="BS197" s="160"/>
      <c r="BT197" s="24"/>
      <c r="BU197" s="24"/>
      <c r="BV197" s="160"/>
    </row>
    <row r="198" spans="30:74" ht="12">
      <c r="AD198" s="86"/>
      <c r="AE198" s="86"/>
      <c r="AK198" s="122"/>
      <c r="AL198" s="122"/>
      <c r="AM198" s="122"/>
      <c r="AN198" s="85"/>
      <c r="AO198" s="26"/>
      <c r="AP198" s="26"/>
      <c r="AQ198" s="26"/>
      <c r="AR198" s="212" t="s">
        <v>15</v>
      </c>
      <c r="AS198" s="212"/>
      <c r="AT198" s="198" t="s">
        <v>13</v>
      </c>
      <c r="AU198" s="198"/>
      <c r="AV198" s="198"/>
      <c r="AW198" s="27"/>
      <c r="AX198" s="28" t="s">
        <v>12</v>
      </c>
      <c r="AY198" s="202" t="s">
        <v>7</v>
      </c>
      <c r="AZ198" s="203"/>
      <c r="BA198" s="203"/>
      <c r="BB198" s="204"/>
      <c r="BC198" s="204"/>
      <c r="BD198" s="202" t="s">
        <v>11</v>
      </c>
      <c r="BE198" s="203"/>
      <c r="BF198" s="203"/>
      <c r="BG198" s="204"/>
      <c r="BH198" s="204"/>
      <c r="BI198" s="202" t="s">
        <v>8</v>
      </c>
      <c r="BJ198" s="203"/>
      <c r="BK198" s="203"/>
      <c r="BL198" s="204"/>
      <c r="BM198" s="204"/>
      <c r="BN198" s="24"/>
      <c r="BO198" s="24"/>
      <c r="BP198" s="160"/>
      <c r="BQ198" s="24"/>
      <c r="BR198" s="24"/>
      <c r="BS198" s="160"/>
      <c r="BT198" s="24"/>
      <c r="BU198" s="24"/>
      <c r="BV198" s="160"/>
    </row>
    <row r="199" spans="30:74" ht="24">
      <c r="AD199" s="86"/>
      <c r="AE199" s="86"/>
      <c r="AO199" s="26"/>
      <c r="AP199" s="26"/>
      <c r="AQ199" s="26"/>
      <c r="AR199" s="212"/>
      <c r="AS199" s="212"/>
      <c r="AT199" s="198"/>
      <c r="AU199" s="198"/>
      <c r="AV199" s="198"/>
      <c r="AW199" s="27" t="s">
        <v>492</v>
      </c>
      <c r="AX199" s="28"/>
      <c r="AY199" s="198" t="s">
        <v>9</v>
      </c>
      <c r="AZ199" s="198"/>
      <c r="BA199" s="198" t="s">
        <v>5</v>
      </c>
      <c r="BB199" s="198"/>
      <c r="BC199" s="198"/>
      <c r="BD199" s="198" t="s">
        <v>9</v>
      </c>
      <c r="BE199" s="198"/>
      <c r="BF199" s="198" t="s">
        <v>5</v>
      </c>
      <c r="BG199" s="198"/>
      <c r="BH199" s="198"/>
      <c r="BI199" s="198" t="s">
        <v>9</v>
      </c>
      <c r="BJ199" s="198"/>
      <c r="BK199" s="198" t="s">
        <v>5</v>
      </c>
      <c r="BL199" s="198"/>
      <c r="BM199" s="198"/>
      <c r="BN199" s="27"/>
      <c r="BO199" s="27"/>
      <c r="BP199" s="161"/>
      <c r="BQ199" s="27"/>
      <c r="BR199" s="27"/>
      <c r="BS199" s="161"/>
      <c r="BT199" s="27"/>
      <c r="BU199" s="27"/>
      <c r="BV199" s="161"/>
    </row>
    <row r="200" spans="30:74" ht="12.75">
      <c r="AD200" s="86"/>
      <c r="AE200" s="86"/>
      <c r="AO200" s="26"/>
      <c r="AP200" s="26"/>
      <c r="AQ200" s="26"/>
      <c r="AR200" s="29"/>
      <c r="AS200" s="29" t="s">
        <v>2</v>
      </c>
      <c r="AT200" s="26"/>
      <c r="AU200" s="198" t="s">
        <v>2</v>
      </c>
      <c r="AV200" s="198"/>
      <c r="AW200" s="27"/>
      <c r="AX200" s="29"/>
      <c r="AY200" s="198" t="s">
        <v>2</v>
      </c>
      <c r="AZ200" s="198"/>
      <c r="BA200" s="26"/>
      <c r="BB200" s="198" t="s">
        <v>2</v>
      </c>
      <c r="BC200" s="198"/>
      <c r="BD200" s="198" t="s">
        <v>2</v>
      </c>
      <c r="BE200" s="198"/>
      <c r="BF200" s="26"/>
      <c r="BG200" s="198" t="s">
        <v>2</v>
      </c>
      <c r="BH200" s="198"/>
      <c r="BI200" s="198" t="s">
        <v>2</v>
      </c>
      <c r="BJ200" s="198"/>
      <c r="BK200" s="26"/>
      <c r="BL200" s="198" t="s">
        <v>2</v>
      </c>
      <c r="BM200" s="198"/>
      <c r="BN200" s="200" t="s">
        <v>7</v>
      </c>
      <c r="BO200" s="201"/>
      <c r="BP200" s="27" t="s">
        <v>493</v>
      </c>
      <c r="BQ200" s="200" t="s">
        <v>494</v>
      </c>
      <c r="BR200" s="201"/>
      <c r="BS200" s="27" t="s">
        <v>493</v>
      </c>
      <c r="BT200" s="200" t="s">
        <v>495</v>
      </c>
      <c r="BU200" s="201"/>
      <c r="BV200" s="27" t="s">
        <v>493</v>
      </c>
    </row>
    <row r="201" spans="30:74" ht="12">
      <c r="AD201" s="86"/>
      <c r="AE201" s="86"/>
      <c r="AO201" s="30" t="s">
        <v>32</v>
      </c>
      <c r="AP201" s="30" t="s">
        <v>402</v>
      </c>
      <c r="AQ201" s="30" t="s">
        <v>403</v>
      </c>
      <c r="AR201" s="30" t="s">
        <v>1</v>
      </c>
      <c r="AS201" s="30" t="s">
        <v>3</v>
      </c>
      <c r="AT201" s="30" t="s">
        <v>1</v>
      </c>
      <c r="AU201" s="30" t="s">
        <v>3</v>
      </c>
      <c r="AV201" s="30" t="s">
        <v>4</v>
      </c>
      <c r="AW201" s="30"/>
      <c r="AX201" s="30" t="s">
        <v>1</v>
      </c>
      <c r="AY201" s="30" t="s">
        <v>3</v>
      </c>
      <c r="AZ201" s="30" t="s">
        <v>4</v>
      </c>
      <c r="BA201" s="30" t="s">
        <v>1</v>
      </c>
      <c r="BB201" s="30" t="s">
        <v>3</v>
      </c>
      <c r="BC201" s="30" t="s">
        <v>4</v>
      </c>
      <c r="BD201" s="30" t="s">
        <v>3</v>
      </c>
      <c r="BE201" s="30" t="s">
        <v>4</v>
      </c>
      <c r="BF201" s="30" t="s">
        <v>1</v>
      </c>
      <c r="BG201" s="30" t="s">
        <v>3</v>
      </c>
      <c r="BH201" s="30" t="s">
        <v>4</v>
      </c>
      <c r="BI201" s="30" t="s">
        <v>3</v>
      </c>
      <c r="BJ201" s="30" t="s">
        <v>4</v>
      </c>
      <c r="BK201" s="30" t="s">
        <v>1</v>
      </c>
      <c r="BL201" s="30" t="s">
        <v>3</v>
      </c>
      <c r="BM201" s="30" t="s">
        <v>4</v>
      </c>
      <c r="BN201" s="30" t="s">
        <v>16</v>
      </c>
      <c r="BO201" s="30" t="s">
        <v>17</v>
      </c>
      <c r="BP201" s="30"/>
      <c r="BQ201" s="30" t="s">
        <v>16</v>
      </c>
      <c r="BR201" s="30" t="s">
        <v>17</v>
      </c>
      <c r="BS201" s="30"/>
      <c r="BT201" s="30" t="s">
        <v>16</v>
      </c>
      <c r="BU201" s="30" t="s">
        <v>17</v>
      </c>
      <c r="BV201" s="30"/>
    </row>
    <row r="202" spans="30:74" ht="12">
      <c r="AD202" s="86"/>
      <c r="AE202" s="86"/>
      <c r="AN202" s="1">
        <v>1</v>
      </c>
      <c r="AO202" s="92" t="s">
        <v>423</v>
      </c>
      <c r="AP202" s="92"/>
      <c r="AQ202" s="102" t="str">
        <f>AO202</f>
        <v>No Loader</v>
      </c>
      <c r="AR202" s="92">
        <v>0</v>
      </c>
      <c r="AS202" s="92">
        <v>0</v>
      </c>
      <c r="AT202" s="92">
        <v>0</v>
      </c>
      <c r="AU202" s="92">
        <v>0</v>
      </c>
      <c r="AV202" s="92">
        <v>0</v>
      </c>
      <c r="AW202" s="92">
        <v>0</v>
      </c>
      <c r="AX202" s="92">
        <v>0</v>
      </c>
      <c r="AY202" s="92">
        <v>0</v>
      </c>
      <c r="AZ202" s="92">
        <v>0</v>
      </c>
      <c r="BA202" s="92">
        <v>0</v>
      </c>
      <c r="BB202" s="92">
        <v>0</v>
      </c>
      <c r="BC202" s="92">
        <v>0</v>
      </c>
      <c r="BD202" s="92">
        <v>0</v>
      </c>
      <c r="BE202" s="92">
        <v>0</v>
      </c>
      <c r="BF202" s="92">
        <v>0</v>
      </c>
      <c r="BG202" s="92">
        <v>0</v>
      </c>
      <c r="BH202" s="92">
        <v>0</v>
      </c>
      <c r="BI202" s="92">
        <v>0</v>
      </c>
      <c r="BJ202" s="92">
        <v>0</v>
      </c>
      <c r="BK202" s="92">
        <v>0</v>
      </c>
      <c r="BL202" s="92">
        <v>0</v>
      </c>
      <c r="BM202" s="92">
        <v>0</v>
      </c>
      <c r="BN202" s="92">
        <v>0</v>
      </c>
      <c r="BO202" s="92">
        <v>0</v>
      </c>
      <c r="BP202" s="92"/>
      <c r="BQ202" s="92">
        <v>0</v>
      </c>
      <c r="BR202" s="92">
        <v>0</v>
      </c>
      <c r="BS202" s="92"/>
      <c r="BT202" s="92">
        <v>0</v>
      </c>
      <c r="BU202" s="92">
        <v>0</v>
      </c>
      <c r="BV202" s="92"/>
    </row>
    <row r="203" spans="30:74" ht="12">
      <c r="AD203" s="86"/>
      <c r="AE203" s="86"/>
      <c r="AN203" s="1">
        <v>2</v>
      </c>
      <c r="AO203" s="7" t="s">
        <v>33</v>
      </c>
      <c r="AP203" s="7">
        <v>24</v>
      </c>
      <c r="AQ203" s="7">
        <f>IF(AO203=Platforms!X2,IF(VLOOKUP('Ballast Calculator'!K24,Platforms!A3:AE133,'Drop down Options'!AP203,FALSE)&lt;&gt;"",'Drop down Options'!AO203,""),"error should reference "&amp;'Drop down Options'!AP203&amp;"in platform tab")</f>
      </c>
      <c r="AR203" s="31">
        <v>214</v>
      </c>
      <c r="AS203" s="31">
        <v>188.4</v>
      </c>
      <c r="AT203" s="31">
        <v>265</v>
      </c>
      <c r="AU203" s="31">
        <v>192.4</v>
      </c>
      <c r="AV203" s="31">
        <v>243</v>
      </c>
      <c r="AW203" s="7">
        <f>AT203+AX203</f>
        <v>886.2</v>
      </c>
      <c r="AX203" s="31">
        <v>621.2</v>
      </c>
      <c r="AY203" s="31">
        <v>1950</v>
      </c>
      <c r="AZ203" s="31">
        <v>-276</v>
      </c>
      <c r="BA203" s="31">
        <v>2181</v>
      </c>
      <c r="BB203" s="31">
        <v>2655.1</v>
      </c>
      <c r="BC203" s="31">
        <v>-600.2</v>
      </c>
      <c r="BD203" s="31">
        <v>2262.8</v>
      </c>
      <c r="BE203" s="31">
        <v>1163.5</v>
      </c>
      <c r="BF203" s="31">
        <v>1279</v>
      </c>
      <c r="BG203" s="31">
        <v>2993.1</v>
      </c>
      <c r="BH203" s="31">
        <v>1427.1</v>
      </c>
      <c r="BI203" s="31">
        <v>1721.4</v>
      </c>
      <c r="BJ203" s="31">
        <v>2346.5</v>
      </c>
      <c r="BK203" s="31">
        <v>1279</v>
      </c>
      <c r="BL203" s="31">
        <v>2525.9</v>
      </c>
      <c r="BM203" s="31">
        <v>2748.6</v>
      </c>
      <c r="BN203" s="32">
        <f>AW203*(VLOOKUP('Ballast Calculator'!$K$24,Platforms!$A$3:$L$133,12,FALSE)+'Drop down Options'!AY203)/VLOOKUP('Ballast Calculator'!$K$24,Platforms!$A$3:$L$133,12,FALSE)</f>
        <v>1539.4186732186733</v>
      </c>
      <c r="BO203" s="32">
        <f>-AW203*(VLOOKUP('Ballast Calculator'!$K$24,Platforms!$A$3:$L$133,12,FALSE)+'Drop down Options'!AY203)/VLOOKUP('Ballast Calculator'!$K$24,Platforms!$A$3:$L$133,12,FALSE)+AW203</f>
        <v>-653.2186732186733</v>
      </c>
      <c r="BP203" s="32">
        <f>-AW203*AY203/(VLOOKUP('Ballast Calculator'!$K$24,Platforms!$A$3:$L$133,12,FALSE))</f>
        <v>-653.2186732186732</v>
      </c>
      <c r="BQ203" s="32">
        <f>AW203*(VLOOKUP('Ballast Calculator'!$K$24,Platforms!$A$3:$L$133,12,FALSE)+'Drop down Options'!BD203)/VLOOKUP('Ballast Calculator'!$K$24,Platforms!$A$3:$L$133,12,FALSE)</f>
        <v>1644.201648081648</v>
      </c>
      <c r="BR203" s="32">
        <f>-AW203*(VLOOKUP('Ballast Calculator'!$K$24,Platforms!$A$3:$L$133,12,FALSE)+'Drop down Options'!BD203)/VLOOKUP('Ballast Calculator'!$K$24,Platforms!$A$3:$L$133,12,FALSE)+AW203</f>
        <v>-758.001648081648</v>
      </c>
      <c r="BS203" s="32">
        <f>-AW203*BD203/(VLOOKUP('Ballast Calculator'!$K$24,Platforms!$A$3:$L$133,12,FALSE))</f>
        <v>-758.0016480816482</v>
      </c>
      <c r="BT203" s="32">
        <f>AW203*(VLOOKUP('Ballast Calculator'!$K$24,Platforms!$A$3:$L$133,12,FALSE)+'Drop down Options'!BI203)/VLOOKUP('Ballast Calculator'!$K$24,Platforms!$A$3:$L$133,12,FALSE)</f>
        <v>1462.8413456813455</v>
      </c>
      <c r="BU203" s="32">
        <f>-AW203*(VLOOKUP('Ballast Calculator'!$K$24,Platforms!$A$3:$L$133,12,FALSE)+'Drop down Options'!BI203)/VLOOKUP('Ballast Calculator'!$K$24,Platforms!$A$3:$L$133,12,FALSE)+AW203</f>
        <v>-576.6413456813455</v>
      </c>
      <c r="BV203" s="32">
        <f>-AW203*BI203/(VLOOKUP('Ballast Calculator'!$K$24,Platforms!$A$3:$L$133,12,FALSE))</f>
        <v>-576.6413456813458</v>
      </c>
    </row>
    <row r="204" spans="30:74" ht="12">
      <c r="AD204" s="86"/>
      <c r="AE204" s="86"/>
      <c r="AN204" s="1">
        <v>3</v>
      </c>
      <c r="AO204" s="7" t="s">
        <v>24</v>
      </c>
      <c r="AP204" s="7">
        <v>25</v>
      </c>
      <c r="AQ204" s="7">
        <f>IF(AO204=Platforms!Y2,IF(VLOOKUP('Ballast Calculator'!K24,Platforms!A3:AE133,'Drop down Options'!AP204,FALSE)&lt;&gt;"",'Drop down Options'!AO204,""),"error should reference "&amp;'Drop down Options'!AP204&amp;"in platform tab")</f>
      </c>
      <c r="AR204" s="31">
        <v>214</v>
      </c>
      <c r="AS204" s="31">
        <v>188.4</v>
      </c>
      <c r="AT204" s="31">
        <v>269</v>
      </c>
      <c r="AU204" s="31">
        <v>187.4</v>
      </c>
      <c r="AV204" s="31">
        <v>261.4</v>
      </c>
      <c r="AW204" s="7">
        <f aca="true" t="shared" si="7" ref="AW204:AW210">AT204+AX204</f>
        <v>948.2</v>
      </c>
      <c r="AX204" s="31">
        <v>679.2</v>
      </c>
      <c r="AY204" s="31">
        <v>1906</v>
      </c>
      <c r="AZ204" s="31">
        <v>-147</v>
      </c>
      <c r="BA204" s="31">
        <v>2196</v>
      </c>
      <c r="BB204" s="31">
        <v>2657.7</v>
      </c>
      <c r="BC204" s="31">
        <v>-597.2</v>
      </c>
      <c r="BD204" s="31">
        <v>2174.6</v>
      </c>
      <c r="BE204" s="31">
        <v>1237.6</v>
      </c>
      <c r="BF204" s="31">
        <v>1536</v>
      </c>
      <c r="BG204" s="31">
        <v>2993.1</v>
      </c>
      <c r="BH204" s="31">
        <v>1427.1</v>
      </c>
      <c r="BI204" s="31">
        <v>1617.4</v>
      </c>
      <c r="BJ204" s="31">
        <v>2364.9</v>
      </c>
      <c r="BK204" s="31">
        <v>1536</v>
      </c>
      <c r="BL204" s="31">
        <v>2526.2</v>
      </c>
      <c r="BM204" s="31">
        <v>2748.2</v>
      </c>
      <c r="BN204" s="32">
        <f>AW204*(VLOOKUP('Ballast Calculator'!$K$24,Platforms!$A$3:$L$133,12,FALSE)+'Drop down Options'!AY204)/VLOOKUP('Ballast Calculator'!$K$24,Platforms!$A$3:$L$133,12,FALSE)</f>
        <v>1631.3484407484407</v>
      </c>
      <c r="BO204" s="32">
        <f>-AW204*(VLOOKUP('Ballast Calculator'!$K$24,Platforms!$A$3:$L$133,12,FALSE)+'Drop down Options'!AY204)/VLOOKUP('Ballast Calculator'!$K$24,Platforms!$A$3:$L$133,12,FALSE)+AW204</f>
        <v>-683.1484407484406</v>
      </c>
      <c r="BP204" s="32">
        <f>-AW204*AY204/(VLOOKUP('Ballast Calculator'!$K$24,Platforms!$A$3:$L$133,12,FALSE))</f>
        <v>-683.1484407484409</v>
      </c>
      <c r="BQ204" s="32">
        <f>AW204*(VLOOKUP('Ballast Calculator'!$K$24,Platforms!$A$3:$L$133,12,FALSE)+'Drop down Options'!BD204)/VLOOKUP('Ballast Calculator'!$K$24,Platforms!$A$3:$L$133,12,FALSE)</f>
        <v>1727.6200415800417</v>
      </c>
      <c r="BR204" s="32">
        <f>-AW204*(VLOOKUP('Ballast Calculator'!$K$24,Platforms!$A$3:$L$133,12,FALSE)+'Drop down Options'!BD204)/VLOOKUP('Ballast Calculator'!$K$24,Platforms!$A$3:$L$133,12,FALSE)+AW204</f>
        <v>-779.4200415800417</v>
      </c>
      <c r="BS204" s="32">
        <f>-AW204*BD204/(VLOOKUP('Ballast Calculator'!$K$24,Platforms!$A$3:$L$133,12,FALSE))</f>
        <v>-779.4200415800416</v>
      </c>
      <c r="BT204" s="32">
        <f>AW204*(VLOOKUP('Ballast Calculator'!$K$24,Platforms!$A$3:$L$133,12,FALSE)+'Drop down Options'!BI204)/VLOOKUP('Ballast Calculator'!$K$24,Platforms!$A$3:$L$133,12,FALSE)</f>
        <v>1527.9084407484406</v>
      </c>
      <c r="BU204" s="32">
        <f>-AW204*(VLOOKUP('Ballast Calculator'!$K$24,Platforms!$A$3:$L$133,12,FALSE)+'Drop down Options'!BI204)/VLOOKUP('Ballast Calculator'!$K$24,Platforms!$A$3:$L$133,12,FALSE)+AW204</f>
        <v>-579.7084407484406</v>
      </c>
      <c r="BV204" s="32">
        <f>-AW204*BI204/(VLOOKUP('Ballast Calculator'!$K$24,Platforms!$A$3:$L$133,12,FALSE))</f>
        <v>-579.7084407484408</v>
      </c>
    </row>
    <row r="205" spans="30:74" ht="12">
      <c r="AD205" s="86"/>
      <c r="AE205" s="86"/>
      <c r="AN205" s="1">
        <v>4</v>
      </c>
      <c r="AO205" s="7" t="s">
        <v>25</v>
      </c>
      <c r="AP205" s="7">
        <v>26</v>
      </c>
      <c r="AQ205" s="7">
        <f>IF(AO205=Platforms!Z2,IF(VLOOKUP('Ballast Calculator'!K24,Platforms!A3:AE133,'Drop down Options'!AP205,FALSE)&lt;&gt;"",'Drop down Options'!AO205,""),"error should reference "&amp;'Drop down Options'!AP205&amp;"in platform tab")</f>
      </c>
      <c r="AR205" s="31">
        <v>214</v>
      </c>
      <c r="AS205" s="31">
        <v>188.4</v>
      </c>
      <c r="AT205" s="31">
        <v>270</v>
      </c>
      <c r="AU205" s="31">
        <v>191.2</v>
      </c>
      <c r="AV205" s="31">
        <v>252.9</v>
      </c>
      <c r="AW205" s="7">
        <f t="shared" si="7"/>
        <v>976.2</v>
      </c>
      <c r="AX205" s="31">
        <v>706.2</v>
      </c>
      <c r="AY205" s="31">
        <v>2022.8</v>
      </c>
      <c r="AZ205" s="31">
        <v>-248</v>
      </c>
      <c r="BA205" s="31">
        <v>2543</v>
      </c>
      <c r="BB205" s="31">
        <v>2867.1</v>
      </c>
      <c r="BC205" s="31">
        <v>-657</v>
      </c>
      <c r="BD205" s="31">
        <v>2305.6</v>
      </c>
      <c r="BE205" s="31">
        <v>1159.8</v>
      </c>
      <c r="BF205" s="31">
        <v>1383</v>
      </c>
      <c r="BG205" s="31">
        <v>3192.1</v>
      </c>
      <c r="BH205" s="31">
        <v>1427.1</v>
      </c>
      <c r="BI205" s="31">
        <v>1718.7</v>
      </c>
      <c r="BJ205" s="31">
        <v>2403.7</v>
      </c>
      <c r="BK205" s="31">
        <v>1383</v>
      </c>
      <c r="BL205" s="31">
        <v>2661</v>
      </c>
      <c r="BM205" s="31">
        <v>2894.8</v>
      </c>
      <c r="BN205" s="32">
        <f>AW205*(VLOOKUP('Ballast Calculator'!$K$24,Platforms!$A$3:$L$133,12,FALSE)+'Drop down Options'!AY205)/VLOOKUP('Ballast Calculator'!$K$24,Platforms!$A$3:$L$133,12,FALSE)</f>
        <v>1722.6212285012284</v>
      </c>
      <c r="BO205" s="32">
        <f>-AW205*(VLOOKUP('Ballast Calculator'!$K$24,Platforms!$A$3:$L$133,12,FALSE)+'Drop down Options'!AY205)/VLOOKUP('Ballast Calculator'!$K$24,Platforms!$A$3:$L$133,12,FALSE)+AW205</f>
        <v>-746.4212285012284</v>
      </c>
      <c r="BP205" s="32">
        <f>-AW205*AY205/(VLOOKUP('Ballast Calculator'!$K$24,Platforms!$A$3:$L$133,12,FALSE))</f>
        <v>-746.4212285012285</v>
      </c>
      <c r="BQ205" s="32">
        <f>AW205*(VLOOKUP('Ballast Calculator'!$K$24,Platforms!$A$3:$L$133,12,FALSE)+'Drop down Options'!BD205)/VLOOKUP('Ballast Calculator'!$K$24,Platforms!$A$3:$L$133,12,FALSE)</f>
        <v>1826.9755509355512</v>
      </c>
      <c r="BR205" s="32">
        <f>-AW205*(VLOOKUP('Ballast Calculator'!$K$24,Platforms!$A$3:$L$133,12,FALSE)+'Drop down Options'!BD205)/VLOOKUP('Ballast Calculator'!$K$24,Platforms!$A$3:$L$133,12,FALSE)+AW205</f>
        <v>-850.7755509355511</v>
      </c>
      <c r="BS205" s="32">
        <f>-AW205*BD205/(VLOOKUP('Ballast Calculator'!$K$24,Platforms!$A$3:$L$133,12,FALSE))</f>
        <v>-850.775550935551</v>
      </c>
      <c r="BT205" s="32">
        <f>AW205*(VLOOKUP('Ballast Calculator'!$K$24,Platforms!$A$3:$L$133,12,FALSE)+'Drop down Options'!BI205)/VLOOKUP('Ballast Calculator'!$K$24,Platforms!$A$3:$L$133,12,FALSE)</f>
        <v>1610.4071215271215</v>
      </c>
      <c r="BU205" s="32">
        <f>-AW205*(VLOOKUP('Ballast Calculator'!$K$24,Platforms!$A$3:$L$133,12,FALSE)+'Drop down Options'!BI205)/VLOOKUP('Ballast Calculator'!$K$24,Platforms!$A$3:$L$133,12,FALSE)+AW205</f>
        <v>-634.2071215271214</v>
      </c>
      <c r="BV205" s="32">
        <f>-AW205*BI205/(VLOOKUP('Ballast Calculator'!$K$24,Platforms!$A$3:$L$133,12,FALSE))</f>
        <v>-634.2071215271216</v>
      </c>
    </row>
    <row r="206" spans="30:74" ht="12">
      <c r="AD206" s="86"/>
      <c r="AE206" s="86"/>
      <c r="AN206" s="1">
        <v>5</v>
      </c>
      <c r="AO206" s="7" t="s">
        <v>26</v>
      </c>
      <c r="AP206" s="7">
        <v>27</v>
      </c>
      <c r="AQ206" s="7">
        <f>IF(AO206=Platforms!AA2,IF(VLOOKUP('Ballast Calculator'!K24,Platforms!A3:AE133,'Drop down Options'!AP206,FALSE)&lt;&gt;"",'Drop down Options'!AO206,""),"error should reference "&amp;'Drop down Options'!AP206&amp;"in platform tab")</f>
      </c>
      <c r="AR206" s="31">
        <v>214</v>
      </c>
      <c r="AS206" s="31">
        <v>188.4</v>
      </c>
      <c r="AT206" s="31">
        <v>280</v>
      </c>
      <c r="AU206" s="31">
        <v>184.5</v>
      </c>
      <c r="AV206" s="31">
        <v>279.7</v>
      </c>
      <c r="AW206" s="7">
        <f t="shared" si="7"/>
        <v>1050.2</v>
      </c>
      <c r="AX206" s="31">
        <v>770.2</v>
      </c>
      <c r="AY206" s="31">
        <v>1965.6</v>
      </c>
      <c r="AZ206" s="31">
        <v>-144</v>
      </c>
      <c r="BA206" s="31">
        <v>2578</v>
      </c>
      <c r="BB206" s="31">
        <v>2852</v>
      </c>
      <c r="BC206" s="31">
        <v>-675.5</v>
      </c>
      <c r="BD206" s="31">
        <v>2221</v>
      </c>
      <c r="BE206" s="31">
        <v>1227.8</v>
      </c>
      <c r="BF206" s="31">
        <v>1894</v>
      </c>
      <c r="BG206" s="31">
        <v>3192.1</v>
      </c>
      <c r="BH206" s="31">
        <v>1427.1</v>
      </c>
      <c r="BI206" s="31">
        <v>1622.5</v>
      </c>
      <c r="BJ206" s="31">
        <v>2416.7</v>
      </c>
      <c r="BK206" s="31">
        <v>1894</v>
      </c>
      <c r="BL206" s="31">
        <v>2660</v>
      </c>
      <c r="BM206" s="31">
        <v>2895.8</v>
      </c>
      <c r="BN206" s="32">
        <f>AW206*(VLOOKUP('Ballast Calculator'!$K$24,Platforms!$A$3:$L$133,12,FALSE)+'Drop down Options'!AY206)/VLOOKUP('Ballast Calculator'!$K$24,Platforms!$A$3:$L$133,12,FALSE)</f>
        <v>1830.4960196560198</v>
      </c>
      <c r="BO206" s="32">
        <f>-AW206*(VLOOKUP('Ballast Calculator'!$K$24,Platforms!$A$3:$L$133,12,FALSE)+'Drop down Options'!AY206)/VLOOKUP('Ballast Calculator'!$K$24,Platforms!$A$3:$L$133,12,FALSE)+AW206</f>
        <v>-780.2960196560198</v>
      </c>
      <c r="BP206" s="32">
        <f>-AW206*AY206/(VLOOKUP('Ballast Calculator'!$K$24,Platforms!$A$3:$L$133,12,FALSE))</f>
        <v>-780.2960196560197</v>
      </c>
      <c r="BQ206" s="32">
        <f>AW206*(VLOOKUP('Ballast Calculator'!$K$24,Platforms!$A$3:$L$133,12,FALSE)+'Drop down Options'!BD206)/VLOOKUP('Ballast Calculator'!$K$24,Platforms!$A$3:$L$133,12,FALSE)</f>
        <v>1931.8836892836891</v>
      </c>
      <c r="BR206" s="32">
        <f>-AW206*(VLOOKUP('Ballast Calculator'!$K$24,Platforms!$A$3:$L$133,12,FALSE)+'Drop down Options'!BD206)/VLOOKUP('Ballast Calculator'!$K$24,Platforms!$A$3:$L$133,12,FALSE)+AW206</f>
        <v>-881.6836892836891</v>
      </c>
      <c r="BS206" s="32">
        <f>-AW206*BD206/(VLOOKUP('Ballast Calculator'!$K$24,Platforms!$A$3:$L$133,12,FALSE))</f>
        <v>-881.6836892836893</v>
      </c>
      <c r="BT206" s="32">
        <f>AW206*(VLOOKUP('Ballast Calculator'!$K$24,Platforms!$A$3:$L$133,12,FALSE)+'Drop down Options'!BI206)/VLOOKUP('Ballast Calculator'!$K$24,Platforms!$A$3:$L$133,12,FALSE)</f>
        <v>1694.2935550935554</v>
      </c>
      <c r="BU206" s="32">
        <f>-AW206*(VLOOKUP('Ballast Calculator'!$K$24,Platforms!$A$3:$L$133,12,FALSE)+'Drop down Options'!BI206)/VLOOKUP('Ballast Calculator'!$K$24,Platforms!$A$3:$L$133,12,FALSE)+AW206</f>
        <v>-644.0935550935553</v>
      </c>
      <c r="BV206" s="32">
        <f>-AW206*BI206/(VLOOKUP('Ballast Calculator'!$K$24,Platforms!$A$3:$L$133,12,FALSE))</f>
        <v>-644.0935550935551</v>
      </c>
    </row>
    <row r="207" spans="30:74" ht="12">
      <c r="AD207" s="86"/>
      <c r="AE207" s="86"/>
      <c r="AN207" s="1">
        <v>6</v>
      </c>
      <c r="AO207" s="6" t="s">
        <v>27</v>
      </c>
      <c r="AP207" s="7">
        <v>28</v>
      </c>
      <c r="AQ207" s="6">
        <f>IF(AO207=Platforms!AB2,IF(VLOOKUP('Ballast Calculator'!K24,Platforms!A3:AE133,'Drop down Options'!AP207,FALSE)&lt;&gt;"",'Drop down Options'!AO207,""),"error should reference "&amp;'Drop down Options'!AP207&amp;"in platform tab")</f>
      </c>
      <c r="AR207" s="31">
        <v>192</v>
      </c>
      <c r="AS207" s="31">
        <v>203.9</v>
      </c>
      <c r="AT207" s="31">
        <v>308</v>
      </c>
      <c r="AU207" s="31">
        <v>245.7</v>
      </c>
      <c r="AV207" s="31">
        <v>-73.7</v>
      </c>
      <c r="AW207" s="7">
        <f t="shared" si="7"/>
        <v>1089.4</v>
      </c>
      <c r="AX207" s="31">
        <v>781.4</v>
      </c>
      <c r="AY207" s="31">
        <v>2201.7</v>
      </c>
      <c r="AZ207" s="31">
        <v>-222.5</v>
      </c>
      <c r="BA207" s="31">
        <v>2696</v>
      </c>
      <c r="BB207" s="31">
        <v>3048</v>
      </c>
      <c r="BC207" s="31">
        <v>-756</v>
      </c>
      <c r="BD207" s="31">
        <v>2551.6</v>
      </c>
      <c r="BE207" s="32">
        <v>1352.6</v>
      </c>
      <c r="BF207" s="32">
        <v>1451</v>
      </c>
      <c r="BG207" s="32">
        <v>3520.8</v>
      </c>
      <c r="BH207" s="32">
        <v>1548.2</v>
      </c>
      <c r="BI207" s="32">
        <v>1716</v>
      </c>
      <c r="BJ207" s="32">
        <v>2878.9</v>
      </c>
      <c r="BK207" s="32">
        <v>1451</v>
      </c>
      <c r="BL207" s="32">
        <v>2695.2</v>
      </c>
      <c r="BM207" s="32">
        <v>3424.9</v>
      </c>
      <c r="BN207" s="32">
        <f>AW207*(VLOOKUP('Ballast Calculator'!$K$24,Platforms!$A$3:$L$133,12,FALSE)+'Drop down Options'!AY207)/VLOOKUP('Ballast Calculator'!$K$24,Platforms!$A$3:$L$133,12,FALSE)</f>
        <v>1996.0459950859954</v>
      </c>
      <c r="BO207" s="32">
        <f>-AW207*(VLOOKUP('Ballast Calculator'!$K$24,Platforms!$A$3:$L$133,12,FALSE)+'Drop down Options'!AY207)/VLOOKUP('Ballast Calculator'!$K$24,Platforms!$A$3:$L$133,12,FALSE)+AW207</f>
        <v>-906.6459950859953</v>
      </c>
      <c r="BP207" s="32">
        <f>-AW207*AY207/(VLOOKUP('Ballast Calculator'!$K$24,Platforms!$A$3:$L$133,12,FALSE))</f>
        <v>-906.6459950859951</v>
      </c>
      <c r="BQ207" s="32">
        <f>AW207*(VLOOKUP('Ballast Calculator'!$K$24,Platforms!$A$3:$L$133,12,FALSE)+'Drop down Options'!BD207)/VLOOKUP('Ballast Calculator'!$K$24,Platforms!$A$3:$L$133,12,FALSE)</f>
        <v>2140.1325798525804</v>
      </c>
      <c r="BR207" s="32">
        <f>-AW207*(VLOOKUP('Ballast Calculator'!$K$24,Platforms!$A$3:$L$133,12,FALSE)+'Drop down Options'!BD207)/VLOOKUP('Ballast Calculator'!$K$24,Platforms!$A$3:$L$133,12,FALSE)+AW207</f>
        <v>-1050.7325798525803</v>
      </c>
      <c r="BS207" s="32">
        <f>-AW207*BD207/(VLOOKUP('Ballast Calculator'!$K$24,Platforms!$A$3:$L$133,12,FALSE))</f>
        <v>-1050.7325798525799</v>
      </c>
      <c r="BT207" s="32">
        <f>AW207*(VLOOKUP('Ballast Calculator'!$K$24,Platforms!$A$3:$L$133,12,FALSE)+'Drop down Options'!BI207)/VLOOKUP('Ballast Calculator'!$K$24,Platforms!$A$3:$L$133,12,FALSE)</f>
        <v>1796.037837837838</v>
      </c>
      <c r="BU207" s="32">
        <f>-AW207*(VLOOKUP('Ballast Calculator'!$K$24,Platforms!$A$3:$L$133,12,FALSE)+'Drop down Options'!BI207)/VLOOKUP('Ballast Calculator'!$K$24,Platforms!$A$3:$L$133,12,FALSE)+AW207</f>
        <v>-706.6378378378379</v>
      </c>
      <c r="BV207" s="32">
        <f>-AW207*BI207/(VLOOKUP('Ballast Calculator'!$K$24,Platforms!$A$3:$L$133,12,FALSE))</f>
        <v>-706.6378378378379</v>
      </c>
    </row>
    <row r="208" spans="30:74" ht="12">
      <c r="AD208" s="86"/>
      <c r="AE208" s="86"/>
      <c r="AN208" s="1">
        <v>7</v>
      </c>
      <c r="AO208" s="6" t="s">
        <v>28</v>
      </c>
      <c r="AP208" s="7">
        <v>29</v>
      </c>
      <c r="AQ208" s="6">
        <f>IF(AO208=Platforms!AC2,IF(VLOOKUP('Ballast Calculator'!K24,Platforms!A3:AE133,'Drop down Options'!AP208,FALSE)&lt;&gt;"",'Drop down Options'!AO208,""),"error should reference "&amp;'Drop down Options'!AP208&amp;"in platform tab")</f>
      </c>
      <c r="AR208" s="31">
        <v>192</v>
      </c>
      <c r="AS208" s="31">
        <v>203.9</v>
      </c>
      <c r="AT208" s="31">
        <v>308</v>
      </c>
      <c r="AU208" s="31">
        <v>245.7</v>
      </c>
      <c r="AV208" s="31">
        <v>-73.7</v>
      </c>
      <c r="AW208" s="7">
        <f t="shared" si="7"/>
        <v>1097.8</v>
      </c>
      <c r="AX208" s="31">
        <v>789.8</v>
      </c>
      <c r="AY208" s="31">
        <v>2129.8</v>
      </c>
      <c r="AZ208" s="31">
        <v>-190.9</v>
      </c>
      <c r="BA208" s="31">
        <v>2849</v>
      </c>
      <c r="BB208" s="31">
        <v>3003</v>
      </c>
      <c r="BC208" s="31">
        <v>-809</v>
      </c>
      <c r="BD208" s="31">
        <v>2483.6</v>
      </c>
      <c r="BE208" s="32">
        <v>1385</v>
      </c>
      <c r="BF208" s="32">
        <v>1998</v>
      </c>
      <c r="BG208" s="32">
        <v>3521.9</v>
      </c>
      <c r="BH208" s="32">
        <v>1547.1</v>
      </c>
      <c r="BI208" s="32">
        <v>1515.1</v>
      </c>
      <c r="BJ208" s="32">
        <v>2950.4</v>
      </c>
      <c r="BK208" s="32">
        <v>1998</v>
      </c>
      <c r="BL208" s="32">
        <v>2514.1</v>
      </c>
      <c r="BM208" s="32">
        <v>3562.6</v>
      </c>
      <c r="BN208" s="32">
        <f>AW208*(VLOOKUP('Ballast Calculator'!$K$24,Platforms!$A$3:$L$133,12,FALSE)+'Drop down Options'!AY208)/VLOOKUP('Ballast Calculator'!$K$24,Platforms!$A$3:$L$133,12,FALSE)</f>
        <v>1981.600582120582</v>
      </c>
      <c r="BO208" s="32">
        <f>-AW208*(VLOOKUP('Ballast Calculator'!$K$24,Platforms!$A$3:$L$133,12,FALSE)+'Drop down Options'!AY208)/VLOOKUP('Ballast Calculator'!$K$24,Platforms!$A$3:$L$133,12,FALSE)+AW208</f>
        <v>-883.800582120582</v>
      </c>
      <c r="BP208" s="32">
        <f>-AW208*AY208/(VLOOKUP('Ballast Calculator'!$K$24,Platforms!$A$3:$L$133,12,FALSE))</f>
        <v>-883.8005821205821</v>
      </c>
      <c r="BQ208" s="32">
        <f>AW208*(VLOOKUP('Ballast Calculator'!$K$24,Platforms!$A$3:$L$133,12,FALSE)+'Drop down Options'!BD208)/VLOOKUP('Ballast Calculator'!$K$24,Platforms!$A$3:$L$133,12,FALSE)</f>
        <v>2128.416548856549</v>
      </c>
      <c r="BR208" s="32">
        <f>-AW208*(VLOOKUP('Ballast Calculator'!$K$24,Platforms!$A$3:$L$133,12,FALSE)+'Drop down Options'!BD208)/VLOOKUP('Ballast Calculator'!$K$24,Platforms!$A$3:$L$133,12,FALSE)+AW208</f>
        <v>-1030.6165488565491</v>
      </c>
      <c r="BS208" s="32">
        <f>-AW208*BD208/(VLOOKUP('Ballast Calculator'!$K$24,Platforms!$A$3:$L$133,12,FALSE))</f>
        <v>-1030.6165488565487</v>
      </c>
      <c r="BT208" s="32">
        <f>AW208*(VLOOKUP('Ballast Calculator'!$K$24,Platforms!$A$3:$L$133,12,FALSE)+'Drop down Options'!BI208)/VLOOKUP('Ballast Calculator'!$K$24,Platforms!$A$3:$L$133,12,FALSE)</f>
        <v>1726.5192515592519</v>
      </c>
      <c r="BU208" s="32">
        <f>-AW208*(VLOOKUP('Ballast Calculator'!$K$24,Platforms!$A$3:$L$133,12,FALSE)+'Drop down Options'!BI208)/VLOOKUP('Ballast Calculator'!$K$24,Platforms!$A$3:$L$133,12,FALSE)+AW208</f>
        <v>-628.7192515592519</v>
      </c>
      <c r="BV208" s="32">
        <f>-AW208*BI208/(VLOOKUP('Ballast Calculator'!$K$24,Platforms!$A$3:$L$133,12,FALSE))</f>
        <v>-628.7192515592515</v>
      </c>
    </row>
    <row r="209" spans="30:74" ht="12">
      <c r="AD209" s="86"/>
      <c r="AE209" s="86"/>
      <c r="AN209" s="1">
        <v>8</v>
      </c>
      <c r="AO209" s="7" t="s">
        <v>29</v>
      </c>
      <c r="AP209" s="7">
        <v>30</v>
      </c>
      <c r="AQ209" s="7" t="str">
        <f>IF(AO209=Platforms!AD2,IF(VLOOKUP('Ballast Calculator'!K24,Platforms!A3:AE133,'Drop down Options'!AP209,FALSE)&lt;&gt;"",'Drop down Options'!AO209,""),"error should reference "&amp;'Drop down Options'!AP209&amp;"in platform tab")</f>
        <v>741 NSL</v>
      </c>
      <c r="AR209" s="31">
        <v>283</v>
      </c>
      <c r="AS209" s="31">
        <v>237.8</v>
      </c>
      <c r="AT209" s="31">
        <v>390</v>
      </c>
      <c r="AU209" s="31">
        <v>256.5</v>
      </c>
      <c r="AV209" s="31">
        <v>365.2</v>
      </c>
      <c r="AW209" s="7">
        <f t="shared" si="7"/>
        <v>1278.9</v>
      </c>
      <c r="AX209" s="31">
        <v>888.9</v>
      </c>
      <c r="AY209" s="31">
        <v>2208.7</v>
      </c>
      <c r="AZ209" s="31">
        <v>-208.3</v>
      </c>
      <c r="BA209" s="31">
        <v>2603</v>
      </c>
      <c r="BB209" s="31">
        <v>3231.8</v>
      </c>
      <c r="BC209" s="31">
        <v>-755.5</v>
      </c>
      <c r="BD209" s="33">
        <v>2550.2</v>
      </c>
      <c r="BE209" s="32">
        <v>1204.9</v>
      </c>
      <c r="BF209" s="32">
        <v>1576</v>
      </c>
      <c r="BG209" s="32">
        <v>3646</v>
      </c>
      <c r="BH209" s="32">
        <v>1449.4</v>
      </c>
      <c r="BI209" s="32">
        <v>1722.8</v>
      </c>
      <c r="BJ209" s="32">
        <v>2765.3</v>
      </c>
      <c r="BK209" s="32">
        <v>1576</v>
      </c>
      <c r="BL209" s="32">
        <v>2943.4</v>
      </c>
      <c r="BM209" s="32">
        <v>3380.4</v>
      </c>
      <c r="BN209" s="32">
        <f>AW209*(VLOOKUP('Ballast Calculator'!$K$24,Platforms!$A$3:$L$133,12,FALSE)+'Drop down Options'!AY209)/VLOOKUP('Ballast Calculator'!$K$24,Platforms!$A$3:$L$133,12,FALSE)</f>
        <v>2346.6400982800983</v>
      </c>
      <c r="BO209" s="32">
        <f>-AW209*(VLOOKUP('Ballast Calculator'!$K$24,Platforms!$A$3:$L$133,12,FALSE)+'Drop down Options'!AY209)/VLOOKUP('Ballast Calculator'!$K$24,Platforms!$A$3:$L$133,12,FALSE)+AW209</f>
        <v>-1067.7400982800982</v>
      </c>
      <c r="BP209" s="32">
        <f>-AW209*AY209/(VLOOKUP('Ballast Calculator'!$K$24,Platforms!$A$3:$L$133,12,FALSE))</f>
        <v>-1067.7400982800984</v>
      </c>
      <c r="BQ209" s="32">
        <f>AW209*(VLOOKUP('Ballast Calculator'!$K$24,Platforms!$A$3:$L$133,12,FALSE)+'Drop down Options'!BD209)/VLOOKUP('Ballast Calculator'!$K$24,Platforms!$A$3:$L$133,12,FALSE)</f>
        <v>2511.729627669628</v>
      </c>
      <c r="BR209" s="32">
        <f>-AW209*(VLOOKUP('Ballast Calculator'!$K$24,Platforms!$A$3:$L$133,12,FALSE)+'Drop down Options'!BD209)/VLOOKUP('Ballast Calculator'!$K$24,Platforms!$A$3:$L$133,12,FALSE)+AW209</f>
        <v>-1232.8296276696278</v>
      </c>
      <c r="BS209" s="32">
        <f>-AW209*BD209/(VLOOKUP('Ballast Calculator'!$K$24,Platforms!$A$3:$L$133,12,FALSE))</f>
        <v>-1232.8296276696276</v>
      </c>
      <c r="BT209" s="32">
        <f>AW209*(VLOOKUP('Ballast Calculator'!$K$24,Platforms!$A$3:$L$133,12,FALSE)+'Drop down Options'!BI209)/VLOOKUP('Ballast Calculator'!$K$24,Platforms!$A$3:$L$133,12,FALSE)</f>
        <v>2111.744044604045</v>
      </c>
      <c r="BU209" s="32">
        <f>-AW209*(VLOOKUP('Ballast Calculator'!$K$24,Platforms!$A$3:$L$133,12,FALSE)+'Drop down Options'!BI209)/VLOOKUP('Ballast Calculator'!$K$24,Platforms!$A$3:$L$133,12,FALSE)+AW209</f>
        <v>-832.8440446040449</v>
      </c>
      <c r="BV209" s="32">
        <f>-AW209*BI209/(VLOOKUP('Ballast Calculator'!$K$24,Platforms!$A$3:$L$133,12,FALSE))</f>
        <v>-832.8440446040446</v>
      </c>
    </row>
    <row r="210" spans="30:74" ht="12">
      <c r="AD210" s="86"/>
      <c r="AE210" s="86"/>
      <c r="AN210" s="1">
        <v>9</v>
      </c>
      <c r="AO210" s="7" t="s">
        <v>30</v>
      </c>
      <c r="AP210" s="7">
        <v>31</v>
      </c>
      <c r="AQ210" s="7" t="str">
        <f>IF(AO210=Platforms!AE2,IF(VLOOKUP('Ballast Calculator'!K24,Platforms!A3:AE133,'Drop down Options'!AP210,FALSE)&lt;&gt;"",'Drop down Options'!AO210,""),"error should reference "&amp;'Drop down Options'!AP210&amp;"in platform tab")</f>
        <v>741 SL</v>
      </c>
      <c r="AR210" s="31">
        <v>283</v>
      </c>
      <c r="AS210" s="31">
        <v>237.8</v>
      </c>
      <c r="AT210" s="31">
        <v>405</v>
      </c>
      <c r="AU210" s="31">
        <v>251.8</v>
      </c>
      <c r="AV210" s="31">
        <v>365.1</v>
      </c>
      <c r="AW210" s="7">
        <f t="shared" si="7"/>
        <v>1388.3</v>
      </c>
      <c r="AX210" s="31">
        <v>983.3</v>
      </c>
      <c r="AY210" s="31">
        <v>2108</v>
      </c>
      <c r="AZ210" s="31">
        <v>-81.3</v>
      </c>
      <c r="BA210" s="31">
        <v>2691</v>
      </c>
      <c r="BB210" s="31">
        <v>3227.1</v>
      </c>
      <c r="BC210" s="31">
        <v>-761.2</v>
      </c>
      <c r="BD210" s="33">
        <v>2410.1</v>
      </c>
      <c r="BE210" s="32">
        <v>1260.1</v>
      </c>
      <c r="BF210" s="32">
        <v>2130</v>
      </c>
      <c r="BG210" s="32">
        <v>3646</v>
      </c>
      <c r="BH210" s="32">
        <v>1449.4</v>
      </c>
      <c r="BI210" s="32">
        <v>1498.6</v>
      </c>
      <c r="BJ210" s="32">
        <v>2850.2</v>
      </c>
      <c r="BK210" s="32">
        <v>2130</v>
      </c>
      <c r="BL210" s="32">
        <v>2684.3</v>
      </c>
      <c r="BM210" s="32">
        <v>3591.1</v>
      </c>
      <c r="BN210" s="32">
        <f>AW210*(VLOOKUP('Ballast Calculator'!$K$24,Platforms!$A$3:$L$133,12,FALSE)+'Drop down Options'!AY210)/VLOOKUP('Ballast Calculator'!$K$24,Platforms!$A$3:$L$133,12,FALSE)</f>
        <v>2494.5318654318653</v>
      </c>
      <c r="BO210" s="32">
        <f>-AW210*(VLOOKUP('Ballast Calculator'!$K$24,Platforms!$A$3:$L$133,12,FALSE)+'Drop down Options'!AY210)/VLOOKUP('Ballast Calculator'!$K$24,Platforms!$A$3:$L$133,12,FALSE)+AW210</f>
        <v>-1106.2318654318653</v>
      </c>
      <c r="BP210" s="32">
        <f>-AW210*AY210/(VLOOKUP('Ballast Calculator'!$K$24,Platforms!$A$3:$L$133,12,FALSE))</f>
        <v>-1106.2318654318653</v>
      </c>
      <c r="BQ210" s="32">
        <f>AW210*(VLOOKUP('Ballast Calculator'!$K$24,Platforms!$A$3:$L$133,12,FALSE)+'Drop down Options'!BD210)/VLOOKUP('Ballast Calculator'!$K$24,Platforms!$A$3:$L$133,12,FALSE)</f>
        <v>2653.067276507277</v>
      </c>
      <c r="BR210" s="32">
        <f>-AW210*(VLOOKUP('Ballast Calculator'!$K$24,Platforms!$A$3:$L$133,12,FALSE)+'Drop down Options'!BD210)/VLOOKUP('Ballast Calculator'!$K$24,Platforms!$A$3:$L$133,12,FALSE)+AW210</f>
        <v>-1264.7672765072768</v>
      </c>
      <c r="BS210" s="32">
        <f>-AW210*BD210/(VLOOKUP('Ballast Calculator'!$K$24,Platforms!$A$3:$L$133,12,FALSE))</f>
        <v>-1264.7672765072764</v>
      </c>
      <c r="BT210" s="32">
        <f>AW210*(VLOOKUP('Ballast Calculator'!$K$24,Platforms!$A$3:$L$133,12,FALSE)+'Drop down Options'!BI210)/VLOOKUP('Ballast Calculator'!$K$24,Platforms!$A$3:$L$133,12,FALSE)</f>
        <v>2174.732198072198</v>
      </c>
      <c r="BU210" s="32">
        <f>-AW210*(VLOOKUP('Ballast Calculator'!$K$24,Platforms!$A$3:$L$133,12,FALSE)+'Drop down Options'!BI210)/VLOOKUP('Ballast Calculator'!$K$24,Platforms!$A$3:$L$133,12,FALSE)+AW210</f>
        <v>-786.4321980721982</v>
      </c>
      <c r="BV210" s="32">
        <f>-AW210*BI210/(VLOOKUP('Ballast Calculator'!$K$24,Platforms!$A$3:$L$133,12,FALSE))</f>
        <v>-786.432198072198</v>
      </c>
    </row>
    <row r="211" spans="30:31" ht="12">
      <c r="AD211" s="86"/>
      <c r="AE211" s="86"/>
    </row>
    <row r="212" spans="75:93" ht="36">
      <c r="BW212" s="106"/>
      <c r="BX212" s="107"/>
      <c r="BY212" s="106"/>
      <c r="BZ212" s="106"/>
      <c r="CA212" s="199" t="s">
        <v>368</v>
      </c>
      <c r="CB212" s="199"/>
      <c r="CC212" s="108"/>
      <c r="CD212" s="108" t="s">
        <v>369</v>
      </c>
      <c r="CE212" s="108"/>
      <c r="CM212" s="65"/>
      <c r="CN212" s="97"/>
      <c r="CO212" s="97"/>
    </row>
    <row r="213" spans="75:93" ht="12">
      <c r="BW213" s="109" t="s">
        <v>442</v>
      </c>
      <c r="BX213" s="107"/>
      <c r="BY213" s="106"/>
      <c r="BZ213" s="199" t="s">
        <v>370</v>
      </c>
      <c r="CA213" s="199"/>
      <c r="CB213" s="199"/>
      <c r="CC213" s="108"/>
      <c r="CD213" s="108"/>
      <c r="CE213" s="108"/>
      <c r="CM213" s="65"/>
      <c r="CN213" s="97"/>
      <c r="CO213" s="97"/>
    </row>
    <row r="214" spans="75:93" ht="27" customHeight="1">
      <c r="BW214" s="106"/>
      <c r="BX214" s="107" t="s">
        <v>371</v>
      </c>
      <c r="BY214" s="106" t="s">
        <v>372</v>
      </c>
      <c r="BZ214" s="199"/>
      <c r="CA214" s="106" t="s">
        <v>16</v>
      </c>
      <c r="CB214" s="106" t="s">
        <v>17</v>
      </c>
      <c r="CC214" s="110" t="s">
        <v>373</v>
      </c>
      <c r="CD214" s="110" t="s">
        <v>3</v>
      </c>
      <c r="CE214" s="110" t="s">
        <v>4</v>
      </c>
      <c r="CM214" s="65"/>
      <c r="CN214" s="97"/>
      <c r="CO214" s="97"/>
    </row>
    <row r="215" spans="75:93" ht="12">
      <c r="BW215" s="34">
        <v>1</v>
      </c>
      <c r="BX215" s="15" t="s">
        <v>449</v>
      </c>
      <c r="BY215" s="34" t="s">
        <v>450</v>
      </c>
      <c r="BZ215" s="91"/>
      <c r="CA215" s="34"/>
      <c r="CB215" s="34"/>
      <c r="CC215" s="111"/>
      <c r="CD215" s="111"/>
      <c r="CE215" s="111"/>
      <c r="CM215" s="65"/>
      <c r="CN215" s="97"/>
      <c r="CO215" s="97"/>
    </row>
    <row r="216" spans="75:93" ht="12">
      <c r="BW216" s="34">
        <v>2</v>
      </c>
      <c r="BX216" s="17" t="s">
        <v>544</v>
      </c>
      <c r="BY216" s="34" t="s">
        <v>374</v>
      </c>
      <c r="BZ216" s="25">
        <v>47</v>
      </c>
      <c r="CA216" s="25"/>
      <c r="CB216" s="25"/>
      <c r="CC216" s="25"/>
      <c r="CD216" s="25"/>
      <c r="CE216" s="25"/>
      <c r="CM216" s="65"/>
      <c r="CN216" s="97"/>
      <c r="CO216" s="97"/>
    </row>
    <row r="217" spans="75:93" ht="12">
      <c r="BW217" s="25">
        <v>3</v>
      </c>
      <c r="BX217" s="17" t="s">
        <v>545</v>
      </c>
      <c r="BY217" s="34" t="s">
        <v>375</v>
      </c>
      <c r="BZ217" s="25">
        <v>70</v>
      </c>
      <c r="CA217" s="25"/>
      <c r="CB217" s="25"/>
      <c r="CC217" s="25"/>
      <c r="CD217" s="25"/>
      <c r="CE217" s="25"/>
      <c r="CM217" s="65"/>
      <c r="CN217" s="97"/>
      <c r="CO217" s="97"/>
    </row>
    <row r="218" spans="75:93" ht="12">
      <c r="BW218" s="34">
        <v>4</v>
      </c>
      <c r="BX218" s="17" t="s">
        <v>546</v>
      </c>
      <c r="BY218" s="34" t="s">
        <v>376</v>
      </c>
      <c r="BZ218" s="25">
        <v>142</v>
      </c>
      <c r="CA218" s="25"/>
      <c r="CB218" s="25">
        <v>-33</v>
      </c>
      <c r="CC218" s="25"/>
      <c r="CD218" s="25"/>
      <c r="CE218" s="25"/>
      <c r="CM218" s="65"/>
      <c r="CN218" s="97"/>
      <c r="CO218" s="97"/>
    </row>
    <row r="219" spans="75:83" ht="12">
      <c r="BW219" s="34">
        <v>5</v>
      </c>
      <c r="BX219" s="17" t="s">
        <v>547</v>
      </c>
      <c r="BY219" s="34" t="s">
        <v>377</v>
      </c>
      <c r="BZ219" s="25">
        <v>401</v>
      </c>
      <c r="CA219" s="25"/>
      <c r="CB219" s="25">
        <v>-104</v>
      </c>
      <c r="CC219" s="25"/>
      <c r="CD219" s="25"/>
      <c r="CE219" s="25"/>
    </row>
    <row r="220" spans="75:83" ht="12">
      <c r="BW220" s="25">
        <v>6</v>
      </c>
      <c r="BX220" s="17" t="s">
        <v>548</v>
      </c>
      <c r="BY220" s="34" t="s">
        <v>378</v>
      </c>
      <c r="BZ220" s="25">
        <v>530</v>
      </c>
      <c r="CA220" s="25"/>
      <c r="CB220" s="25">
        <v>-139</v>
      </c>
      <c r="CC220" s="25"/>
      <c r="CD220" s="25"/>
      <c r="CE220" s="25"/>
    </row>
    <row r="221" spans="75:83" ht="12">
      <c r="BW221" s="34">
        <v>7</v>
      </c>
      <c r="BX221" s="17" t="s">
        <v>549</v>
      </c>
      <c r="BY221" s="34" t="s">
        <v>379</v>
      </c>
      <c r="BZ221" s="25">
        <v>660</v>
      </c>
      <c r="CA221" s="25"/>
      <c r="CB221" s="25">
        <v>-174</v>
      </c>
      <c r="CC221" s="25"/>
      <c r="CD221" s="25"/>
      <c r="CE221" s="25"/>
    </row>
    <row r="222" spans="75:83" ht="12">
      <c r="BW222" s="34">
        <v>8</v>
      </c>
      <c r="BX222" s="17" t="s">
        <v>550</v>
      </c>
      <c r="BY222" s="34" t="s">
        <v>380</v>
      </c>
      <c r="BZ222" s="25">
        <v>790</v>
      </c>
      <c r="CA222" s="25"/>
      <c r="CB222" s="25">
        <v>-210</v>
      </c>
      <c r="CC222" s="25"/>
      <c r="CD222" s="25"/>
      <c r="CE222" s="25"/>
    </row>
    <row r="223" spans="75:83" ht="12">
      <c r="BW223" s="25">
        <v>9</v>
      </c>
      <c r="BX223" s="17" t="s">
        <v>551</v>
      </c>
      <c r="BY223" s="34" t="s">
        <v>381</v>
      </c>
      <c r="BZ223" s="25">
        <v>920</v>
      </c>
      <c r="CA223" s="25"/>
      <c r="CB223" s="25">
        <v>-245</v>
      </c>
      <c r="CC223" s="25"/>
      <c r="CD223" s="25"/>
      <c r="CE223" s="25"/>
    </row>
    <row r="224" spans="75:83" ht="12">
      <c r="BW224" s="34">
        <v>10</v>
      </c>
      <c r="BX224" s="17" t="s">
        <v>552</v>
      </c>
      <c r="BY224" s="34" t="s">
        <v>382</v>
      </c>
      <c r="BZ224" s="25">
        <v>1048</v>
      </c>
      <c r="CA224" s="25"/>
      <c r="CB224" s="25">
        <v>-281</v>
      </c>
      <c r="CC224" s="25"/>
      <c r="CD224" s="25"/>
      <c r="CE224" s="25"/>
    </row>
    <row r="225" spans="75:83" ht="12">
      <c r="BW225" s="34">
        <v>11</v>
      </c>
      <c r="BX225" s="17" t="s">
        <v>553</v>
      </c>
      <c r="BY225" s="34" t="s">
        <v>383</v>
      </c>
      <c r="BZ225" s="25">
        <v>1307</v>
      </c>
      <c r="CA225" s="25"/>
      <c r="CB225" s="25">
        <v>-351</v>
      </c>
      <c r="CC225" s="25"/>
      <c r="CD225" s="25"/>
      <c r="CE225" s="25"/>
    </row>
    <row r="226" spans="75:83" ht="12">
      <c r="BW226" s="25">
        <v>12</v>
      </c>
      <c r="BX226" s="17" t="s">
        <v>543</v>
      </c>
      <c r="BY226" s="34" t="s">
        <v>374</v>
      </c>
      <c r="BZ226" s="25">
        <v>47</v>
      </c>
      <c r="CA226" s="25"/>
      <c r="CB226" s="25"/>
      <c r="CC226" s="25"/>
      <c r="CD226" s="25"/>
      <c r="CE226" s="25"/>
    </row>
    <row r="227" spans="75:83" ht="12">
      <c r="BW227" s="34">
        <v>13</v>
      </c>
      <c r="BX227" s="17" t="s">
        <v>541</v>
      </c>
      <c r="BY227" s="34" t="s">
        <v>375</v>
      </c>
      <c r="BZ227" s="25">
        <v>70</v>
      </c>
      <c r="CA227" s="25"/>
      <c r="CB227" s="25"/>
      <c r="CC227" s="25"/>
      <c r="CD227" s="25"/>
      <c r="CE227" s="25"/>
    </row>
    <row r="228" spans="75:83" ht="12">
      <c r="BW228" s="34">
        <v>14</v>
      </c>
      <c r="BX228" s="17" t="s">
        <v>542</v>
      </c>
      <c r="BY228" s="34" t="s">
        <v>375</v>
      </c>
      <c r="BZ228" s="25">
        <v>100</v>
      </c>
      <c r="CA228" s="25"/>
      <c r="CB228" s="25"/>
      <c r="CC228" s="25"/>
      <c r="CD228" s="25"/>
      <c r="CE228" s="25"/>
    </row>
    <row r="229" spans="75:83" ht="12">
      <c r="BW229" s="25">
        <v>15</v>
      </c>
      <c r="BX229" s="17" t="s">
        <v>540</v>
      </c>
      <c r="BY229" s="34" t="s">
        <v>467</v>
      </c>
      <c r="BZ229" s="25">
        <v>907</v>
      </c>
      <c r="CA229" s="25"/>
      <c r="CB229" s="25"/>
      <c r="CC229" s="25"/>
      <c r="CD229" s="25"/>
      <c r="CE229" s="25"/>
    </row>
    <row r="230" spans="75:83" ht="12">
      <c r="BW230" s="34">
        <v>16</v>
      </c>
      <c r="BX230" s="17" t="s">
        <v>404</v>
      </c>
      <c r="BY230" s="34" t="s">
        <v>468</v>
      </c>
      <c r="BZ230" s="25">
        <v>45</v>
      </c>
      <c r="CA230" s="25"/>
      <c r="CB230" s="25"/>
      <c r="CC230" s="25"/>
      <c r="CD230" s="25"/>
      <c r="CE230" s="25"/>
    </row>
    <row r="231" spans="75:83" ht="12">
      <c r="BW231" s="34">
        <v>17</v>
      </c>
      <c r="BX231" s="17" t="s">
        <v>405</v>
      </c>
      <c r="BY231" s="34" t="s">
        <v>469</v>
      </c>
      <c r="BZ231" s="25">
        <f>BZ230*2</f>
        <v>90</v>
      </c>
      <c r="CA231" s="25"/>
      <c r="CB231" s="25"/>
      <c r="CC231" s="25"/>
      <c r="CD231" s="25"/>
      <c r="CE231" s="25"/>
    </row>
    <row r="232" spans="75:83" ht="12">
      <c r="BW232" s="25">
        <v>18</v>
      </c>
      <c r="BX232" s="34" t="s">
        <v>407</v>
      </c>
      <c r="BY232" s="34" t="s">
        <v>470</v>
      </c>
      <c r="BZ232" s="25">
        <f>BZ230*3</f>
        <v>135</v>
      </c>
      <c r="CA232" s="25"/>
      <c r="CB232" s="25"/>
      <c r="CC232" s="25"/>
      <c r="CD232" s="25"/>
      <c r="CE232" s="25"/>
    </row>
    <row r="233" spans="75:83" ht="12">
      <c r="BW233" s="34">
        <v>19</v>
      </c>
      <c r="BX233" s="34" t="s">
        <v>408</v>
      </c>
      <c r="BY233" s="34" t="s">
        <v>471</v>
      </c>
      <c r="BZ233" s="25">
        <f>BZ230*4</f>
        <v>180</v>
      </c>
      <c r="CA233" s="25"/>
      <c r="CB233" s="25"/>
      <c r="CC233" s="25"/>
      <c r="CD233" s="25"/>
      <c r="CE233" s="25"/>
    </row>
    <row r="234" spans="75:83" ht="12">
      <c r="BW234" s="34">
        <v>20</v>
      </c>
      <c r="BX234" s="34" t="s">
        <v>409</v>
      </c>
      <c r="BY234" s="34" t="s">
        <v>472</v>
      </c>
      <c r="BZ234" s="25">
        <f>BZ230*5</f>
        <v>225</v>
      </c>
      <c r="CA234" s="25"/>
      <c r="CB234" s="25"/>
      <c r="CC234" s="25"/>
      <c r="CD234" s="25"/>
      <c r="CE234" s="25"/>
    </row>
    <row r="235" spans="75:83" ht="12">
      <c r="BW235" s="25">
        <v>21</v>
      </c>
      <c r="BX235" s="34" t="s">
        <v>410</v>
      </c>
      <c r="BY235" s="34" t="s">
        <v>473</v>
      </c>
      <c r="BZ235" s="25">
        <f>BZ230*6</f>
        <v>270</v>
      </c>
      <c r="CA235" s="25"/>
      <c r="CB235" s="25"/>
      <c r="CC235" s="25"/>
      <c r="CD235" s="25"/>
      <c r="CE235" s="25"/>
    </row>
    <row r="236" spans="75:83" ht="12">
      <c r="BW236" s="34">
        <v>22</v>
      </c>
      <c r="BX236" s="34" t="s">
        <v>411</v>
      </c>
      <c r="BY236" s="34" t="s">
        <v>474</v>
      </c>
      <c r="BZ236" s="25">
        <f>BZ230*7</f>
        <v>315</v>
      </c>
      <c r="CA236" s="25"/>
      <c r="CB236" s="25"/>
      <c r="CC236" s="25"/>
      <c r="CD236" s="25"/>
      <c r="CE236" s="25"/>
    </row>
    <row r="237" spans="75:83" ht="12">
      <c r="BW237" s="34">
        <v>23</v>
      </c>
      <c r="BX237" s="34" t="s">
        <v>406</v>
      </c>
      <c r="BY237" s="34" t="s">
        <v>475</v>
      </c>
      <c r="BZ237" s="25">
        <f>BZ230*8</f>
        <v>360</v>
      </c>
      <c r="CA237" s="25"/>
      <c r="CB237" s="25"/>
      <c r="CC237" s="25"/>
      <c r="CD237" s="25"/>
      <c r="CE237" s="25"/>
    </row>
    <row r="238" spans="75:83" ht="12">
      <c r="BW238" s="25">
        <v>24</v>
      </c>
      <c r="BX238" s="34" t="s">
        <v>412</v>
      </c>
      <c r="BY238" s="34" t="s">
        <v>476</v>
      </c>
      <c r="BZ238" s="25">
        <f>BZ230*9</f>
        <v>405</v>
      </c>
      <c r="CA238" s="25"/>
      <c r="CB238" s="25"/>
      <c r="CC238" s="25"/>
      <c r="CD238" s="25"/>
      <c r="CE238" s="25"/>
    </row>
    <row r="239" spans="75:83" ht="12">
      <c r="BW239" s="34">
        <v>25</v>
      </c>
      <c r="BX239" s="34" t="s">
        <v>413</v>
      </c>
      <c r="BY239" s="34" t="s">
        <v>477</v>
      </c>
      <c r="BZ239" s="25">
        <f>BZ230*10</f>
        <v>450</v>
      </c>
      <c r="CA239" s="25"/>
      <c r="CB239" s="25"/>
      <c r="CC239" s="25"/>
      <c r="CD239" s="25"/>
      <c r="CE239" s="25"/>
    </row>
    <row r="240" spans="75:83" ht="12">
      <c r="BW240" s="34">
        <v>26</v>
      </c>
      <c r="BX240" s="34" t="s">
        <v>414</v>
      </c>
      <c r="BY240" s="34" t="s">
        <v>478</v>
      </c>
      <c r="BZ240" s="25">
        <f>BZ230*11</f>
        <v>495</v>
      </c>
      <c r="CA240" s="25"/>
      <c r="CB240" s="25"/>
      <c r="CC240" s="25"/>
      <c r="CD240" s="25"/>
      <c r="CE240" s="25"/>
    </row>
    <row r="241" spans="75:83" ht="12">
      <c r="BW241" s="25">
        <v>27</v>
      </c>
      <c r="BX241" s="25" t="s">
        <v>415</v>
      </c>
      <c r="BY241" s="34" t="s">
        <v>479</v>
      </c>
      <c r="BZ241" s="25">
        <f>45*12</f>
        <v>540</v>
      </c>
      <c r="CA241" s="25"/>
      <c r="CB241" s="25"/>
      <c r="CC241" s="25"/>
      <c r="CD241" s="25"/>
      <c r="CE241" s="25"/>
    </row>
    <row r="242" spans="75:83" ht="12">
      <c r="BW242" s="34">
        <v>28</v>
      </c>
      <c r="BX242" s="25" t="s">
        <v>416</v>
      </c>
      <c r="BY242" s="34" t="s">
        <v>480</v>
      </c>
      <c r="BZ242" s="25">
        <f>45*13</f>
        <v>585</v>
      </c>
      <c r="CA242" s="25"/>
      <c r="CB242" s="25"/>
      <c r="CC242" s="25"/>
      <c r="CD242" s="25"/>
      <c r="CE242" s="25"/>
    </row>
    <row r="243" spans="75:83" ht="12">
      <c r="BW243" s="34">
        <v>29</v>
      </c>
      <c r="BX243" s="25" t="s">
        <v>417</v>
      </c>
      <c r="BY243" s="34" t="s">
        <v>481</v>
      </c>
      <c r="BZ243" s="25">
        <f>45*14</f>
        <v>630</v>
      </c>
      <c r="CA243" s="25"/>
      <c r="CB243" s="25"/>
      <c r="CC243" s="25"/>
      <c r="CD243" s="25"/>
      <c r="CE243" s="25"/>
    </row>
    <row r="244" spans="75:83" ht="12">
      <c r="BW244" s="25">
        <v>30</v>
      </c>
      <c r="BX244" s="25" t="s">
        <v>418</v>
      </c>
      <c r="BY244" s="34" t="s">
        <v>482</v>
      </c>
      <c r="BZ244" s="25">
        <f>45*15</f>
        <v>675</v>
      </c>
      <c r="CA244" s="25"/>
      <c r="CB244" s="25"/>
      <c r="CC244" s="25"/>
      <c r="CD244" s="25"/>
      <c r="CE244" s="25"/>
    </row>
    <row r="245" spans="75:83" ht="12">
      <c r="BW245" s="34">
        <v>31</v>
      </c>
      <c r="BX245" s="25" t="s">
        <v>419</v>
      </c>
      <c r="BY245" s="34" t="s">
        <v>483</v>
      </c>
      <c r="BZ245" s="25">
        <f>45*16</f>
        <v>720</v>
      </c>
      <c r="CA245" s="25"/>
      <c r="CB245" s="25"/>
      <c r="CC245" s="25"/>
      <c r="CD245" s="25"/>
      <c r="CE245" s="25"/>
    </row>
    <row r="246" spans="75:83" ht="12">
      <c r="BW246" s="34">
        <v>32</v>
      </c>
      <c r="BX246" s="25" t="s">
        <v>420</v>
      </c>
      <c r="BY246" s="34" t="s">
        <v>484</v>
      </c>
      <c r="BZ246" s="25">
        <f>45*17</f>
        <v>765</v>
      </c>
      <c r="CA246" s="25"/>
      <c r="CB246" s="25"/>
      <c r="CC246" s="25"/>
      <c r="CD246" s="25"/>
      <c r="CE246" s="25"/>
    </row>
    <row r="247" spans="75:83" ht="12">
      <c r="BW247" s="25">
        <v>33</v>
      </c>
      <c r="BX247" s="25" t="s">
        <v>421</v>
      </c>
      <c r="BY247" s="34" t="s">
        <v>485</v>
      </c>
      <c r="BZ247" s="25">
        <f>45*18</f>
        <v>810</v>
      </c>
      <c r="CA247" s="25"/>
      <c r="CB247" s="25"/>
      <c r="CC247" s="25"/>
      <c r="CD247" s="25"/>
      <c r="CE247" s="25"/>
    </row>
    <row r="248" spans="75:83" ht="12">
      <c r="BW248" s="34">
        <v>34</v>
      </c>
      <c r="BX248" s="25" t="s">
        <v>422</v>
      </c>
      <c r="BY248" s="34" t="s">
        <v>486</v>
      </c>
      <c r="BZ248" s="25">
        <f>45*19</f>
        <v>855</v>
      </c>
      <c r="CA248" s="25"/>
      <c r="CB248" s="25"/>
      <c r="CC248" s="25"/>
      <c r="CD248" s="25"/>
      <c r="CE248" s="25"/>
    </row>
    <row r="250" spans="84:91" ht="12">
      <c r="CF250" s="106"/>
      <c r="CG250" s="106"/>
      <c r="CH250" s="106"/>
      <c r="CI250" s="106"/>
      <c r="CJ250" s="199" t="s">
        <v>368</v>
      </c>
      <c r="CK250" s="199"/>
      <c r="CL250" s="108" t="s">
        <v>369</v>
      </c>
      <c r="CM250" s="108"/>
    </row>
    <row r="251" spans="84:91" ht="12">
      <c r="CF251" s="109" t="s">
        <v>446</v>
      </c>
      <c r="CG251" s="106"/>
      <c r="CH251" s="106"/>
      <c r="CI251" s="199" t="s">
        <v>370</v>
      </c>
      <c r="CJ251" s="199"/>
      <c r="CK251" s="199"/>
      <c r="CL251" s="108"/>
      <c r="CM251" s="108"/>
    </row>
    <row r="252" spans="84:91" ht="12">
      <c r="CF252" s="106"/>
      <c r="CG252" s="106" t="s">
        <v>371</v>
      </c>
      <c r="CH252" s="106" t="s">
        <v>372</v>
      </c>
      <c r="CI252" s="199"/>
      <c r="CJ252" s="106" t="s">
        <v>16</v>
      </c>
      <c r="CK252" s="106" t="s">
        <v>17</v>
      </c>
      <c r="CL252" s="110" t="s">
        <v>3</v>
      </c>
      <c r="CM252" s="110" t="s">
        <v>4</v>
      </c>
    </row>
    <row r="253" spans="84:91" ht="12">
      <c r="CF253" s="34">
        <v>1</v>
      </c>
      <c r="CG253" s="34" t="s">
        <v>449</v>
      </c>
      <c r="CH253" s="34" t="s">
        <v>448</v>
      </c>
      <c r="CI253" s="91"/>
      <c r="CJ253" s="25"/>
      <c r="CK253" s="15"/>
      <c r="CL253" s="111"/>
      <c r="CM253" s="111"/>
    </row>
    <row r="254" spans="84:91" ht="12">
      <c r="CF254" s="25">
        <v>2</v>
      </c>
      <c r="CG254" s="17" t="s">
        <v>521</v>
      </c>
      <c r="CH254" s="25" t="s">
        <v>384</v>
      </c>
      <c r="CI254" s="32">
        <v>108</v>
      </c>
      <c r="CJ254" s="25"/>
      <c r="CK254" s="17">
        <v>108</v>
      </c>
      <c r="CL254" s="25"/>
      <c r="CM254" s="25"/>
    </row>
    <row r="255" spans="84:91" ht="12">
      <c r="CF255" s="25">
        <v>3</v>
      </c>
      <c r="CG255" s="17" t="s">
        <v>522</v>
      </c>
      <c r="CH255" s="25" t="s">
        <v>385</v>
      </c>
      <c r="CI255" s="32">
        <v>216</v>
      </c>
      <c r="CJ255" s="25"/>
      <c r="CK255" s="17">
        <v>216</v>
      </c>
      <c r="CL255" s="25"/>
      <c r="CM255" s="25"/>
    </row>
    <row r="256" spans="84:91" ht="12">
      <c r="CF256" s="34">
        <v>4</v>
      </c>
      <c r="CG256" s="17" t="s">
        <v>523</v>
      </c>
      <c r="CH256" s="34" t="s">
        <v>386</v>
      </c>
      <c r="CI256" s="32">
        <v>324</v>
      </c>
      <c r="CJ256" s="25"/>
      <c r="CK256" s="17">
        <v>324</v>
      </c>
      <c r="CL256" s="25"/>
      <c r="CM256" s="25"/>
    </row>
    <row r="257" spans="84:91" ht="12">
      <c r="CF257" s="25">
        <v>5</v>
      </c>
      <c r="CG257" s="17" t="s">
        <v>524</v>
      </c>
      <c r="CH257" s="34" t="s">
        <v>387</v>
      </c>
      <c r="CI257" s="32">
        <v>432</v>
      </c>
      <c r="CJ257" s="25"/>
      <c r="CK257" s="17">
        <v>432</v>
      </c>
      <c r="CL257" s="25"/>
      <c r="CM257" s="25"/>
    </row>
    <row r="258" spans="84:91" ht="24">
      <c r="CF258" s="25">
        <v>6</v>
      </c>
      <c r="CG258" s="17" t="s">
        <v>525</v>
      </c>
      <c r="CH258" s="76" t="s">
        <v>388</v>
      </c>
      <c r="CI258" s="112">
        <v>410</v>
      </c>
      <c r="CJ258" s="25"/>
      <c r="CK258" s="124">
        <v>410</v>
      </c>
      <c r="CL258" s="25"/>
      <c r="CM258" s="25"/>
    </row>
    <row r="259" spans="84:91" ht="24">
      <c r="CF259" s="34">
        <v>7</v>
      </c>
      <c r="CG259" s="17" t="s">
        <v>526</v>
      </c>
      <c r="CH259" s="76" t="s">
        <v>389</v>
      </c>
      <c r="CI259" s="112">
        <v>560</v>
      </c>
      <c r="CJ259" s="25"/>
      <c r="CK259" s="124">
        <v>560</v>
      </c>
      <c r="CL259" s="25"/>
      <c r="CM259" s="25"/>
    </row>
    <row r="260" spans="84:91" ht="24">
      <c r="CF260" s="25">
        <v>8</v>
      </c>
      <c r="CG260" s="17" t="s">
        <v>527</v>
      </c>
      <c r="CH260" s="76" t="s">
        <v>388</v>
      </c>
      <c r="CI260" s="112">
        <v>410</v>
      </c>
      <c r="CJ260" s="25"/>
      <c r="CK260" s="124">
        <v>410</v>
      </c>
      <c r="CL260" s="25"/>
      <c r="CM260" s="25"/>
    </row>
    <row r="261" spans="84:91" ht="24">
      <c r="CF261" s="25">
        <v>9</v>
      </c>
      <c r="CG261" s="17" t="s">
        <v>528</v>
      </c>
      <c r="CH261" s="76" t="s">
        <v>389</v>
      </c>
      <c r="CI261" s="112">
        <v>560</v>
      </c>
      <c r="CJ261" s="25"/>
      <c r="CK261" s="124">
        <v>560</v>
      </c>
      <c r="CL261" s="25"/>
      <c r="CM261" s="25"/>
    </row>
    <row r="262" spans="84:91" ht="24">
      <c r="CF262" s="34">
        <v>10</v>
      </c>
      <c r="CG262" s="124" t="s">
        <v>529</v>
      </c>
      <c r="CH262" s="76" t="s">
        <v>390</v>
      </c>
      <c r="CI262" s="112">
        <v>77</v>
      </c>
      <c r="CJ262" s="25"/>
      <c r="CK262" s="124">
        <v>77</v>
      </c>
      <c r="CL262" s="25"/>
      <c r="CM262" s="25"/>
    </row>
    <row r="263" spans="84:91" ht="24">
      <c r="CF263" s="25">
        <v>11</v>
      </c>
      <c r="CG263" s="124" t="s">
        <v>530</v>
      </c>
      <c r="CH263" s="76" t="s">
        <v>391</v>
      </c>
      <c r="CI263" s="112">
        <v>155</v>
      </c>
      <c r="CJ263" s="25"/>
      <c r="CK263" s="124">
        <v>155</v>
      </c>
      <c r="CL263" s="25"/>
      <c r="CM263" s="25"/>
    </row>
    <row r="264" spans="84:91" ht="24">
      <c r="CF264" s="25">
        <v>12</v>
      </c>
      <c r="CG264" s="124" t="s">
        <v>531</v>
      </c>
      <c r="CH264" s="76" t="s">
        <v>392</v>
      </c>
      <c r="CI264" s="112">
        <v>231</v>
      </c>
      <c r="CJ264" s="25"/>
      <c r="CK264" s="124">
        <v>231</v>
      </c>
      <c r="CL264" s="25"/>
      <c r="CM264" s="25"/>
    </row>
    <row r="265" spans="84:91" ht="24">
      <c r="CF265" s="34">
        <v>13</v>
      </c>
      <c r="CG265" s="124" t="s">
        <v>532</v>
      </c>
      <c r="CH265" s="76" t="s">
        <v>393</v>
      </c>
      <c r="CI265" s="112">
        <v>110</v>
      </c>
      <c r="CJ265" s="25"/>
      <c r="CK265" s="124">
        <v>110</v>
      </c>
      <c r="CL265" s="25"/>
      <c r="CM265" s="25"/>
    </row>
    <row r="266" spans="84:91" ht="24">
      <c r="CF266" s="25">
        <v>14</v>
      </c>
      <c r="CG266" s="124" t="s">
        <v>533</v>
      </c>
      <c r="CH266" s="76" t="s">
        <v>394</v>
      </c>
      <c r="CI266" s="112">
        <v>220</v>
      </c>
      <c r="CJ266" s="25"/>
      <c r="CK266" s="124">
        <v>220</v>
      </c>
      <c r="CL266" s="25"/>
      <c r="CM266" s="25"/>
    </row>
    <row r="267" spans="84:91" ht="12">
      <c r="CF267" s="25">
        <v>15</v>
      </c>
      <c r="CG267" s="124" t="s">
        <v>538</v>
      </c>
      <c r="CH267" s="25" t="s">
        <v>395</v>
      </c>
      <c r="CI267" s="32">
        <v>420</v>
      </c>
      <c r="CJ267" s="25"/>
      <c r="CK267" s="17">
        <v>420</v>
      </c>
      <c r="CL267" s="25"/>
      <c r="CM267" s="25"/>
    </row>
    <row r="268" spans="84:91" ht="12">
      <c r="CF268" s="34">
        <v>16</v>
      </c>
      <c r="CG268" s="17" t="s">
        <v>534</v>
      </c>
      <c r="CH268" s="25" t="s">
        <v>396</v>
      </c>
      <c r="CI268" s="32">
        <v>65</v>
      </c>
      <c r="CJ268" s="25"/>
      <c r="CK268" s="17">
        <v>65</v>
      </c>
      <c r="CL268" s="25"/>
      <c r="CM268" s="25"/>
    </row>
    <row r="269" spans="84:91" ht="12">
      <c r="CF269" s="25">
        <v>17</v>
      </c>
      <c r="CG269" s="17" t="s">
        <v>539</v>
      </c>
      <c r="CH269" s="25" t="s">
        <v>397</v>
      </c>
      <c r="CI269" s="32">
        <v>200</v>
      </c>
      <c r="CJ269" s="25"/>
      <c r="CK269" s="17">
        <v>200</v>
      </c>
      <c r="CL269" s="25"/>
      <c r="CM269" s="25"/>
    </row>
    <row r="270" spans="84:91" ht="12">
      <c r="CF270" s="25">
        <v>18</v>
      </c>
      <c r="CG270" s="17" t="s">
        <v>535</v>
      </c>
      <c r="CH270" s="25" t="s">
        <v>398</v>
      </c>
      <c r="CI270" s="32">
        <v>50</v>
      </c>
      <c r="CJ270" s="25"/>
      <c r="CK270" s="17">
        <v>50</v>
      </c>
      <c r="CL270" s="25"/>
      <c r="CM270" s="25"/>
    </row>
    <row r="271" spans="84:91" ht="12">
      <c r="CF271" s="34">
        <v>19</v>
      </c>
      <c r="CG271" s="17" t="s">
        <v>536</v>
      </c>
      <c r="CH271" s="25" t="s">
        <v>399</v>
      </c>
      <c r="CI271" s="32">
        <v>75</v>
      </c>
      <c r="CJ271" s="25"/>
      <c r="CK271" s="17">
        <v>75</v>
      </c>
      <c r="CL271" s="25"/>
      <c r="CM271" s="25"/>
    </row>
    <row r="272" spans="84:91" ht="12">
      <c r="CF272" s="25">
        <v>20</v>
      </c>
      <c r="CG272" s="17" t="s">
        <v>537</v>
      </c>
      <c r="CH272" s="25" t="s">
        <v>400</v>
      </c>
      <c r="CI272" s="32">
        <v>205</v>
      </c>
      <c r="CJ272" s="25"/>
      <c r="CK272" s="17">
        <v>205</v>
      </c>
      <c r="CL272" s="25"/>
      <c r="CM272" s="25"/>
    </row>
    <row r="273" ht="12">
      <c r="CS273" s="103"/>
    </row>
    <row r="274" spans="92:97" ht="12">
      <c r="CN274" s="95" t="s">
        <v>554</v>
      </c>
      <c r="CO274" s="96"/>
      <c r="CP274" s="96"/>
      <c r="CQ274" s="96"/>
      <c r="CR274" s="96"/>
      <c r="CS274" s="65"/>
    </row>
    <row r="275" spans="92:97" ht="12">
      <c r="CN275" s="35"/>
      <c r="CO275" s="35"/>
      <c r="CP275" s="35"/>
      <c r="CQ275" s="35"/>
      <c r="CR275" s="35"/>
      <c r="CS275" s="65"/>
    </row>
    <row r="276" spans="92:97" ht="12">
      <c r="CN276" s="35" t="s">
        <v>35</v>
      </c>
      <c r="CO276" s="35" t="s">
        <v>36</v>
      </c>
      <c r="CP276" s="35" t="s">
        <v>34</v>
      </c>
      <c r="CQ276" s="36"/>
      <c r="CR276" s="35" t="s">
        <v>432</v>
      </c>
      <c r="CS276" s="65"/>
    </row>
    <row r="277" spans="92:97" ht="12">
      <c r="CN277" s="34">
        <v>1</v>
      </c>
      <c r="CO277" s="34" t="s">
        <v>452</v>
      </c>
      <c r="CP277" s="34"/>
      <c r="CQ277" s="113"/>
      <c r="CR277" s="34">
        <v>0</v>
      </c>
      <c r="CS277" s="65"/>
    </row>
    <row r="278" spans="92:97" ht="12">
      <c r="CN278" s="34">
        <v>2</v>
      </c>
      <c r="CO278" s="25" t="s">
        <v>556</v>
      </c>
      <c r="CP278" s="17"/>
      <c r="CQ278" s="34"/>
      <c r="CR278" s="34">
        <v>1050</v>
      </c>
      <c r="CS278" s="65"/>
    </row>
    <row r="279" spans="92:97" ht="12">
      <c r="CN279" s="25">
        <v>3</v>
      </c>
      <c r="CO279" s="25" t="s">
        <v>557</v>
      </c>
      <c r="CP279" s="17"/>
      <c r="CQ279" s="34"/>
      <c r="CR279" s="34">
        <v>2100</v>
      </c>
      <c r="CS279" s="65"/>
    </row>
    <row r="280" spans="92:97" ht="12">
      <c r="CN280" s="34">
        <v>4</v>
      </c>
      <c r="CO280" s="25" t="s">
        <v>558</v>
      </c>
      <c r="CP280" s="17"/>
      <c r="CQ280" s="34"/>
      <c r="CR280" s="34">
        <v>3150</v>
      </c>
      <c r="CS280" s="65"/>
    </row>
    <row r="282" spans="98:104" ht="12">
      <c r="CT282" s="25" t="s">
        <v>85</v>
      </c>
      <c r="CU282" s="25"/>
      <c r="CV282" s="25"/>
      <c r="CW282" s="25"/>
      <c r="CX282" s="25"/>
      <c r="CY282" s="25"/>
      <c r="CZ282" s="25"/>
    </row>
    <row r="283" spans="98:104" ht="12">
      <c r="CT283" s="25" t="s">
        <v>424</v>
      </c>
      <c r="CU283" s="25" t="s">
        <v>426</v>
      </c>
      <c r="CV283" s="25" t="s">
        <v>426</v>
      </c>
      <c r="CW283" s="25" t="s">
        <v>427</v>
      </c>
      <c r="CX283" s="25" t="s">
        <v>434</v>
      </c>
      <c r="CY283" s="25" t="s">
        <v>433</v>
      </c>
      <c r="CZ283" s="25" t="s">
        <v>425</v>
      </c>
    </row>
    <row r="284" spans="98:104" ht="12">
      <c r="CT284" s="25"/>
      <c r="CU284" s="25" t="s">
        <v>431</v>
      </c>
      <c r="CV284" s="25" t="s">
        <v>432</v>
      </c>
      <c r="CW284" s="25" t="s">
        <v>431</v>
      </c>
      <c r="CX284" s="25" t="s">
        <v>432</v>
      </c>
      <c r="CY284" s="25" t="s">
        <v>431</v>
      </c>
      <c r="CZ284" s="25" t="s">
        <v>432</v>
      </c>
    </row>
    <row r="285" spans="98:104" ht="12">
      <c r="CT285" s="25" t="s">
        <v>428</v>
      </c>
      <c r="CU285" s="25">
        <v>990</v>
      </c>
      <c r="CV285" s="25">
        <v>450</v>
      </c>
      <c r="CW285" s="25">
        <v>1540</v>
      </c>
      <c r="CX285" s="25">
        <v>700</v>
      </c>
      <c r="CY285" s="25">
        <v>2090</v>
      </c>
      <c r="CZ285" s="25">
        <v>950</v>
      </c>
    </row>
    <row r="286" spans="98:104" ht="12">
      <c r="CT286" s="25" t="s">
        <v>430</v>
      </c>
      <c r="CU286" s="25">
        <v>375</v>
      </c>
      <c r="CV286" s="25">
        <v>170</v>
      </c>
      <c r="CW286" s="25">
        <v>375</v>
      </c>
      <c r="CX286" s="25">
        <v>170</v>
      </c>
      <c r="CY286" s="25">
        <v>375</v>
      </c>
      <c r="CZ286" s="25">
        <v>170</v>
      </c>
    </row>
    <row r="287" spans="98:104" ht="12">
      <c r="CT287" s="25" t="s">
        <v>429</v>
      </c>
      <c r="CU287" s="25">
        <v>1365</v>
      </c>
      <c r="CV287" s="25">
        <v>620</v>
      </c>
      <c r="CW287" s="25">
        <v>1915</v>
      </c>
      <c r="CX287" s="25">
        <v>870</v>
      </c>
      <c r="CY287" s="25">
        <v>2465</v>
      </c>
      <c r="CZ287" s="25">
        <v>1120</v>
      </c>
    </row>
    <row r="288" spans="98:104" ht="12">
      <c r="CT288" s="104" t="s">
        <v>440</v>
      </c>
      <c r="CU288" s="25" t="s">
        <v>431</v>
      </c>
      <c r="CV288" s="25" t="s">
        <v>432</v>
      </c>
      <c r="CW288" s="97"/>
      <c r="CX288" s="97"/>
      <c r="CY288" s="97"/>
      <c r="CZ288" s="97"/>
    </row>
    <row r="289" spans="97:104" ht="12">
      <c r="CS289" s="1">
        <v>1</v>
      </c>
      <c r="CT289" s="34" t="s">
        <v>439</v>
      </c>
      <c r="CU289" s="25">
        <v>0</v>
      </c>
      <c r="CV289" s="25">
        <v>0</v>
      </c>
      <c r="CW289" s="97"/>
      <c r="CX289" s="97"/>
      <c r="CY289" s="97"/>
      <c r="CZ289" s="97"/>
    </row>
    <row r="290" spans="97:100" ht="12">
      <c r="CS290" s="1">
        <v>2</v>
      </c>
      <c r="CT290" s="25" t="s">
        <v>435</v>
      </c>
      <c r="CU290" s="25">
        <v>375</v>
      </c>
      <c r="CV290" s="25">
        <v>170</v>
      </c>
    </row>
    <row r="291" spans="97:100" ht="12">
      <c r="CS291" s="1">
        <v>3</v>
      </c>
      <c r="CT291" s="25" t="s">
        <v>436</v>
      </c>
      <c r="CU291" s="25">
        <v>1365</v>
      </c>
      <c r="CV291" s="25">
        <v>620</v>
      </c>
    </row>
    <row r="292" spans="97:100" ht="12">
      <c r="CS292" s="1">
        <v>4</v>
      </c>
      <c r="CT292" s="25" t="s">
        <v>437</v>
      </c>
      <c r="CU292" s="25">
        <v>1915</v>
      </c>
      <c r="CV292" s="25">
        <v>870</v>
      </c>
    </row>
    <row r="293" spans="97:100" ht="12">
      <c r="CS293" s="1">
        <v>5</v>
      </c>
      <c r="CT293" s="25" t="s">
        <v>438</v>
      </c>
      <c r="CU293" s="25">
        <v>2465</v>
      </c>
      <c r="CV293" s="25">
        <v>1120</v>
      </c>
    </row>
    <row r="294" spans="105:107" ht="12">
      <c r="DA294" s="25"/>
      <c r="DB294" s="25" t="s">
        <v>512</v>
      </c>
      <c r="DC294" s="25"/>
    </row>
    <row r="295" spans="105:107" ht="12">
      <c r="DA295" s="25">
        <v>1</v>
      </c>
      <c r="DB295" s="25" t="s">
        <v>513</v>
      </c>
      <c r="DC295" s="25"/>
    </row>
    <row r="296" spans="105:107" ht="12">
      <c r="DA296" s="25">
        <v>2</v>
      </c>
      <c r="DB296" s="25" t="s">
        <v>514</v>
      </c>
      <c r="DC296" s="25"/>
    </row>
  </sheetData>
  <sheetProtection/>
  <mergeCells count="35">
    <mergeCell ref="BA199:BC199"/>
    <mergeCell ref="BD199:BE199"/>
    <mergeCell ref="AY199:AZ199"/>
    <mergeCell ref="AR199:AS199"/>
    <mergeCell ref="AU200:AV200"/>
    <mergeCell ref="AT199:AV199"/>
    <mergeCell ref="J87:J97"/>
    <mergeCell ref="J79:J86"/>
    <mergeCell ref="J76:J77"/>
    <mergeCell ref="AY198:BC198"/>
    <mergeCell ref="AT198:AV198"/>
    <mergeCell ref="AR198:AS198"/>
    <mergeCell ref="J98:J99"/>
    <mergeCell ref="R31:S31"/>
    <mergeCell ref="P32:P33"/>
    <mergeCell ref="Q32:Q33"/>
    <mergeCell ref="R32:S32"/>
    <mergeCell ref="BB200:BC200"/>
    <mergeCell ref="AY200:AZ200"/>
    <mergeCell ref="BG200:BH200"/>
    <mergeCell ref="BI198:BM198"/>
    <mergeCell ref="BD198:BH198"/>
    <mergeCell ref="BK199:BM199"/>
    <mergeCell ref="BL200:BM200"/>
    <mergeCell ref="BI199:BJ199"/>
    <mergeCell ref="BF199:BH199"/>
    <mergeCell ref="BI200:BJ200"/>
    <mergeCell ref="BD200:BE200"/>
    <mergeCell ref="CA212:CB213"/>
    <mergeCell ref="BZ213:BZ214"/>
    <mergeCell ref="CJ250:CK251"/>
    <mergeCell ref="CI251:CI252"/>
    <mergeCell ref="BN200:BO200"/>
    <mergeCell ref="BQ200:BR200"/>
    <mergeCell ref="BT200:BU200"/>
  </mergeCells>
  <conditionalFormatting sqref="P35:P42">
    <cfRule type="cellIs" priority="1" dxfId="1" operator="equal" stopIfTrue="1">
      <formula>"TBD"</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Z141"/>
  <sheetViews>
    <sheetView zoomScale="75" zoomScaleNormal="75" workbookViewId="0" topLeftCell="A1">
      <pane xSplit="1" topLeftCell="AK1" activePane="topRight" state="frozen"/>
      <selection pane="topLeft" activeCell="B18" sqref="B18:I18"/>
      <selection pane="topRight" activeCell="B18" sqref="B18:I18"/>
    </sheetView>
  </sheetViews>
  <sheetFormatPr defaultColWidth="9.140625" defaultRowHeight="12.75"/>
  <cols>
    <col min="1" max="1" width="30.57421875" style="0" bestFit="1" customWidth="1"/>
    <col min="2" max="2" width="4.00390625" style="0" customWidth="1"/>
    <col min="3" max="3" width="6.8515625" style="0" customWidth="1"/>
    <col min="4" max="4" width="8.421875" style="0" customWidth="1"/>
    <col min="5" max="5" width="10.7109375" style="0" customWidth="1"/>
    <col min="6" max="6" width="14.140625" style="0" customWidth="1"/>
    <col min="7" max="7" width="11.7109375" style="0" customWidth="1"/>
    <col min="8" max="8" width="8.7109375" style="0" customWidth="1"/>
    <col min="9" max="9" width="11.8515625" style="0" customWidth="1"/>
    <col min="10" max="10" width="7.00390625" style="0" customWidth="1"/>
    <col min="11" max="13" width="9.57421875" style="0" customWidth="1"/>
    <col min="14" max="14" width="12.7109375" style="0" customWidth="1"/>
    <col min="15" max="15" width="9.57421875" style="0" customWidth="1"/>
    <col min="20" max="21" width="10.57421875" style="0" customWidth="1"/>
    <col min="22" max="23" width="14.8515625" style="0" customWidth="1"/>
    <col min="42" max="43" width="9.140625" style="167" customWidth="1"/>
    <col min="45" max="46" width="9.140625" style="167" customWidth="1"/>
  </cols>
  <sheetData>
    <row r="1" spans="8:33" ht="12.75">
      <c r="H1" t="s">
        <v>39</v>
      </c>
      <c r="N1" t="s">
        <v>40</v>
      </c>
      <c r="T1" t="s">
        <v>41</v>
      </c>
      <c r="AF1" t="s">
        <v>441</v>
      </c>
      <c r="AG1" t="s">
        <v>85</v>
      </c>
    </row>
    <row r="2" spans="1:52" s="44" customFormat="1" ht="63.75">
      <c r="A2" s="45" t="s">
        <v>42</v>
      </c>
      <c r="C2" s="45" t="s">
        <v>19</v>
      </c>
      <c r="D2" s="45" t="s">
        <v>18</v>
      </c>
      <c r="E2" s="45" t="s">
        <v>0</v>
      </c>
      <c r="F2" s="45" t="s">
        <v>20</v>
      </c>
      <c r="G2" s="46" t="s">
        <v>43</v>
      </c>
      <c r="H2" s="44" t="s">
        <v>490</v>
      </c>
      <c r="I2" s="47" t="s">
        <v>44</v>
      </c>
      <c r="J2" s="47" t="s">
        <v>45</v>
      </c>
      <c r="K2" s="48" t="s">
        <v>46</v>
      </c>
      <c r="L2" s="48" t="s">
        <v>47</v>
      </c>
      <c r="M2" s="48" t="s">
        <v>48</v>
      </c>
      <c r="N2" s="49" t="s">
        <v>49</v>
      </c>
      <c r="O2" s="49" t="s">
        <v>50</v>
      </c>
      <c r="P2" s="49" t="s">
        <v>51</v>
      </c>
      <c r="Q2" s="50" t="s">
        <v>52</v>
      </c>
      <c r="R2" s="50" t="s">
        <v>53</v>
      </c>
      <c r="S2" s="50" t="s">
        <v>54</v>
      </c>
      <c r="T2" s="51" t="s">
        <v>55</v>
      </c>
      <c r="U2" s="51" t="s">
        <v>56</v>
      </c>
      <c r="V2" s="51" t="s">
        <v>57</v>
      </c>
      <c r="W2" s="51" t="s">
        <v>58</v>
      </c>
      <c r="X2" s="44" t="s">
        <v>33</v>
      </c>
      <c r="Y2" s="44" t="s">
        <v>24</v>
      </c>
      <c r="Z2" s="44" t="s">
        <v>25</v>
      </c>
      <c r="AA2" s="44" t="s">
        <v>26</v>
      </c>
      <c r="AB2" s="44" t="s">
        <v>27</v>
      </c>
      <c r="AC2" s="44" t="s">
        <v>28</v>
      </c>
      <c r="AD2" s="44" t="s">
        <v>29</v>
      </c>
      <c r="AE2" s="44" t="s">
        <v>30</v>
      </c>
      <c r="AF2" s="105" t="s">
        <v>491</v>
      </c>
      <c r="AG2" s="44" t="s">
        <v>462</v>
      </c>
      <c r="AH2" s="46" t="s">
        <v>463</v>
      </c>
      <c r="AI2" s="46" t="s">
        <v>464</v>
      </c>
      <c r="AJ2" s="105" t="s">
        <v>460</v>
      </c>
      <c r="AK2" s="44" t="s">
        <v>496</v>
      </c>
      <c r="AL2" s="44" t="s">
        <v>497</v>
      </c>
      <c r="AM2" s="44" t="s">
        <v>498</v>
      </c>
      <c r="AN2" s="44" t="s">
        <v>499</v>
      </c>
      <c r="AO2" s="44" t="s">
        <v>500</v>
      </c>
      <c r="AP2" s="168" t="s">
        <v>501</v>
      </c>
      <c r="AQ2" s="168" t="s">
        <v>555</v>
      </c>
      <c r="AR2" s="44" t="s">
        <v>502</v>
      </c>
      <c r="AS2" s="168" t="s">
        <v>503</v>
      </c>
      <c r="AT2" s="168" t="s">
        <v>504</v>
      </c>
      <c r="AU2" s="44" t="s">
        <v>505</v>
      </c>
      <c r="AV2" s="44" t="s">
        <v>506</v>
      </c>
      <c r="AW2" s="44" t="s">
        <v>507</v>
      </c>
      <c r="AX2" s="44" t="s">
        <v>509</v>
      </c>
      <c r="AY2" s="44" t="s">
        <v>510</v>
      </c>
      <c r="AZ2" s="44" t="s">
        <v>508</v>
      </c>
    </row>
    <row r="3" spans="1:52" ht="12.75">
      <c r="A3" s="52" t="str">
        <f aca="true" t="shared" si="0" ref="A3:A34">CONCATENATE(C3,D3,E3,F3)</f>
        <v>6100 DCAB2WDTSS</v>
      </c>
      <c r="B3">
        <v>1</v>
      </c>
      <c r="C3" t="s">
        <v>59</v>
      </c>
      <c r="D3" t="s">
        <v>60</v>
      </c>
      <c r="E3" t="s">
        <v>6</v>
      </c>
      <c r="F3" t="s">
        <v>61</v>
      </c>
      <c r="G3" s="53">
        <v>39870</v>
      </c>
      <c r="H3">
        <v>4208</v>
      </c>
      <c r="I3">
        <v>692.9</v>
      </c>
      <c r="J3">
        <v>115</v>
      </c>
      <c r="K3">
        <v>272.9</v>
      </c>
      <c r="L3">
        <v>2710</v>
      </c>
      <c r="M3">
        <v>880</v>
      </c>
      <c r="N3">
        <v>9659</v>
      </c>
      <c r="O3">
        <v>5000</v>
      </c>
      <c r="P3">
        <v>5000</v>
      </c>
      <c r="Q3" s="52">
        <f>(H3*I3)/L3</f>
        <v>1075.912619926199</v>
      </c>
      <c r="R3" s="52">
        <f>-Q3+H3</f>
        <v>3132.087380073801</v>
      </c>
      <c r="S3" s="52">
        <f>(H3*(L3-I3))/L3</f>
        <v>3132.0873800738004</v>
      </c>
      <c r="T3">
        <v>-1262.2</v>
      </c>
      <c r="U3">
        <v>226.1</v>
      </c>
      <c r="V3">
        <v>1353.3</v>
      </c>
      <c r="W3">
        <v>754</v>
      </c>
      <c r="X3" t="s">
        <v>401</v>
      </c>
      <c r="Y3" t="s">
        <v>401</v>
      </c>
      <c r="Z3" t="s">
        <v>401</v>
      </c>
      <c r="AA3" t="s">
        <v>401</v>
      </c>
      <c r="AF3">
        <v>3145</v>
      </c>
      <c r="AG3">
        <f>VLOOKUP('Ballast Calculator'!$D$67,'Drop down Options'!$CS$289:$CV$293,4,FALSE)*Platforms!T3/Platforms!L3</f>
        <v>-288.7690036900369</v>
      </c>
      <c r="AH3">
        <f>VLOOKUP('Ballast Calculator'!$D$67,'Drop down Options'!$CS$289:$CV$293,4,FALSE)+(VLOOKUP('Ballast Calculator'!$D$67,'Drop down Options'!$CS$289:$CV$293,4,FALSE)*T3)/L3</f>
        <v>331.2309963099631</v>
      </c>
      <c r="AI3">
        <f>VLOOKUP('Ballast Calculator'!$D$67,'Drop down Options'!$CS$289:$CV$293,4,FALSE)*(Platforms!L3+Platforms!T3)/Platforms!L3</f>
        <v>331.2309963099631</v>
      </c>
      <c r="AJ3">
        <v>-1130.5</v>
      </c>
      <c r="AK3">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3">
        <f>IF(VLOOKUP('Ballast Calculator'!$D$50,'Drop down Options'!$AN$202:$AQ$210,4,FALSE)="",0,Platforms!AK3)</f>
        <v>2494.5318654318653</v>
      </c>
      <c r="AM3">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3">
        <f>IF(VLOOKUP('Ballast Calculator'!$D$50,'Drop down Options'!$AN$202:$AQ$210,4,FALSE)="",0,Platforms!AM3)</f>
        <v>-1106.2318654318653</v>
      </c>
      <c r="AO3">
        <f>VLOOKUP('Ballast Calculator'!$D$54,'Drop down Options'!$CN$277:$CR$280,5,FALSE)*Platforms!AJ3/Platforms!L3</f>
        <v>0</v>
      </c>
      <c r="AP3" s="167">
        <f>VLOOKUP('Ballast Calculator'!$D$54,'Drop down Options'!$CN$277:$CR$280,5,FALSE)+VLOOKUP('Ballast Calculator'!$D$54,'Drop down Options'!$CN$277:$CR$280,5,FALSE)*Platforms!AJ3/Platforms!L3</f>
        <v>0</v>
      </c>
      <c r="AQ3" s="167">
        <f>VLOOKUP('Ballast Calculator'!$D$54,'Drop down Options'!$CN$277:$CR$280,5,FALSE)*(Platforms!AJ3+Platforms!L3)/Platforms!L3</f>
        <v>0</v>
      </c>
      <c r="AR3">
        <f>VLOOKUP('Ballast Calculator'!$D$61,'Drop down Options'!$BW$215:$BZ$248,4,FALSE)*(Platforms!L3+Platforms!AF3)/Platforms!L3</f>
        <v>0</v>
      </c>
      <c r="AS3" s="167">
        <f>-AR3+VLOOKUP('Ballast Calculator'!$D$61,'Drop down Options'!$BW$215:$BZ$248,4,FALSE)</f>
        <v>0</v>
      </c>
      <c r="AT3" s="167">
        <f>-VLOOKUP('Ballast Calculator'!$D$61,'Drop down Options'!$BW$215:$BZ$248,4,FALSE)*Platforms!AF3/Platforms!L3</f>
        <v>0</v>
      </c>
      <c r="AU3">
        <v>0</v>
      </c>
      <c r="AV3">
        <f>VLOOKUP('Ballast Calculator'!$D$64,'Drop down Options'!$CF$253:$CI$272,4,FALSE)</f>
        <v>77</v>
      </c>
      <c r="AW3">
        <f>VLOOKUP('Ballast Calculator'!$D$67,'Drop down Options'!$CS$289:$CV$293,4,FALSE)*Platforms!AZ3/Platforms!L3</f>
        <v>-326.44944649446495</v>
      </c>
      <c r="AX3">
        <f>AW3+VLOOKUP('Ballast Calculator'!$D$67,'Drop down Options'!$CS$289:$CV$293,4,FALSE)</f>
        <v>293.55055350553505</v>
      </c>
      <c r="AY3">
        <f>VLOOKUP('Ballast Calculator'!$D$67,'Drop down Options'!$CS$289:$CV$293,4,FALSE)*(Platforms!AZ3+Platforms!L3)/Platforms!L3</f>
        <v>293.55055350553505</v>
      </c>
      <c r="AZ3">
        <f>AJ3-296.4</f>
        <v>-1426.9</v>
      </c>
    </row>
    <row r="4" spans="1:52" ht="12.75">
      <c r="A4" s="52" t="str">
        <f t="shared" si="0"/>
        <v>6100 DCAB2WDTSS-PWR REV</v>
      </c>
      <c r="B4">
        <v>2</v>
      </c>
      <c r="C4" t="s">
        <v>59</v>
      </c>
      <c r="D4" t="s">
        <v>60</v>
      </c>
      <c r="E4" t="s">
        <v>6</v>
      </c>
      <c r="F4" t="s">
        <v>62</v>
      </c>
      <c r="G4" s="53">
        <v>39870</v>
      </c>
      <c r="H4">
        <v>4208</v>
      </c>
      <c r="I4">
        <v>692.9</v>
      </c>
      <c r="J4">
        <v>115</v>
      </c>
      <c r="K4">
        <v>272.9</v>
      </c>
      <c r="L4">
        <v>2710</v>
      </c>
      <c r="M4">
        <v>880</v>
      </c>
      <c r="N4">
        <v>9659</v>
      </c>
      <c r="O4">
        <v>5000</v>
      </c>
      <c r="P4">
        <v>5000</v>
      </c>
      <c r="Q4" s="52">
        <f aca="true" t="shared" si="1" ref="Q4:Q67">(H4*I4)/L4</f>
        <v>1075.912619926199</v>
      </c>
      <c r="R4" s="52">
        <f aca="true" t="shared" si="2" ref="R4:R67">-Q4+H4</f>
        <v>3132.087380073801</v>
      </c>
      <c r="S4" s="52">
        <f aca="true" t="shared" si="3" ref="S4:S67">(H4*(L4-I4))/L4</f>
        <v>3132.0873800738004</v>
      </c>
      <c r="T4">
        <v>-1262.2</v>
      </c>
      <c r="U4">
        <v>226.1</v>
      </c>
      <c r="V4">
        <v>1353.3</v>
      </c>
      <c r="W4">
        <v>754</v>
      </c>
      <c r="X4" t="s">
        <v>401</v>
      </c>
      <c r="Y4" t="s">
        <v>401</v>
      </c>
      <c r="Z4" t="s">
        <v>401</v>
      </c>
      <c r="AA4" t="s">
        <v>401</v>
      </c>
      <c r="AF4">
        <v>3145</v>
      </c>
      <c r="AG4">
        <f>VLOOKUP('Ballast Calculator'!$D$67,'Drop down Options'!$CS$289:$CV$293,4,FALSE)*Platforms!T4/Platforms!L4</f>
        <v>-288.7690036900369</v>
      </c>
      <c r="AH4">
        <f>VLOOKUP('Ballast Calculator'!$D$67,'Drop down Options'!$CS$289:$CV$293,4,FALSE)+(VLOOKUP('Ballast Calculator'!$D$67,'Drop down Options'!$CS$289:$CV$293,4,FALSE)*T4)/L4</f>
        <v>331.2309963099631</v>
      </c>
      <c r="AI4">
        <f>VLOOKUP('Ballast Calculator'!$D$67,'Drop down Options'!$CS$289:$CV$293,4,FALSE)*(Platforms!L4+Platforms!T4)/Platforms!L4</f>
        <v>331.2309963099631</v>
      </c>
      <c r="AJ4">
        <v>-1130.5</v>
      </c>
      <c r="AK4">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4">
        <f>IF(VLOOKUP('Ballast Calculator'!$D$50,'Drop down Options'!$AN$202:$AQ$210,4,FALSE)="",0,Platforms!AK4)</f>
        <v>2494.5318654318653</v>
      </c>
      <c r="AM4">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4">
        <f>IF(VLOOKUP('Ballast Calculator'!$D$50,'Drop down Options'!$AN$202:$AQ$210,4,FALSE)="",0,Platforms!AM4)</f>
        <v>-1106.2318654318653</v>
      </c>
      <c r="AO4">
        <f>VLOOKUP('Ballast Calculator'!$D$54,'Drop down Options'!$CN$277:$CR$280,5,FALSE)*Platforms!AJ4/Platforms!L4</f>
        <v>0</v>
      </c>
      <c r="AP4" s="167">
        <f>VLOOKUP('Ballast Calculator'!$D$54,'Drop down Options'!$CN$277:$CR$280,5,FALSE)+VLOOKUP('Ballast Calculator'!$D$54,'Drop down Options'!$CN$277:$CR$280,5,FALSE)*Platforms!AJ4/Platforms!L4</f>
        <v>0</v>
      </c>
      <c r="AQ4" s="167">
        <f>VLOOKUP('Ballast Calculator'!$D$54,'Drop down Options'!$CN$277:$CR$280,5,FALSE)*(Platforms!AJ4+Platforms!L4)/Platforms!L4</f>
        <v>0</v>
      </c>
      <c r="AR4">
        <f>VLOOKUP('Ballast Calculator'!$D$61,'Drop down Options'!$BW$215:$BZ$248,4,FALSE)*(Platforms!L4+Platforms!AF4)/Platforms!L4</f>
        <v>0</v>
      </c>
      <c r="AS4" s="167">
        <f>-AR4+VLOOKUP('Ballast Calculator'!$D$61,'Drop down Options'!$BW$215:$BZ$248,4,FALSE)</f>
        <v>0</v>
      </c>
      <c r="AT4" s="167">
        <f>-VLOOKUP('Ballast Calculator'!$D$61,'Drop down Options'!$BW$215:$BZ$248,4,FALSE)*Platforms!AF4/Platforms!L4</f>
        <v>0</v>
      </c>
      <c r="AU4">
        <v>0</v>
      </c>
      <c r="AV4">
        <f>VLOOKUP('Ballast Calculator'!$D$64,'Drop down Options'!$CF$253:$CI$272,4,FALSE)</f>
        <v>77</v>
      </c>
      <c r="AW4">
        <f>VLOOKUP('Ballast Calculator'!$D$67,'Drop down Options'!$CS$289:$CV$293,4,FALSE)*Platforms!AZ4/Platforms!L4</f>
        <v>-326.44944649446495</v>
      </c>
      <c r="AX4">
        <f>AW4+VLOOKUP('Ballast Calculator'!$D$67,'Drop down Options'!$CS$289:$CV$293,4,FALSE)</f>
        <v>293.55055350553505</v>
      </c>
      <c r="AY4">
        <f>VLOOKUP('Ballast Calculator'!$D$67,'Drop down Options'!$CS$289:$CV$293,4,FALSE)*(Platforms!AZ4+Platforms!L4)/Platforms!L4</f>
        <v>293.55055350553505</v>
      </c>
      <c r="AZ4">
        <f aca="true" t="shared" si="4" ref="AZ4:AZ67">AJ4-296.4</f>
        <v>-1426.9</v>
      </c>
    </row>
    <row r="5" spans="1:52" ht="12.75">
      <c r="A5" s="52" t="str">
        <f t="shared" si="0"/>
        <v>6100 DOOS2WDTSS</v>
      </c>
      <c r="B5">
        <v>3</v>
      </c>
      <c r="C5" t="s">
        <v>59</v>
      </c>
      <c r="D5" t="s">
        <v>63</v>
      </c>
      <c r="E5" t="s">
        <v>6</v>
      </c>
      <c r="F5" t="s">
        <v>61</v>
      </c>
      <c r="G5" s="53">
        <v>39870</v>
      </c>
      <c r="H5">
        <v>4140</v>
      </c>
      <c r="I5">
        <v>692.9</v>
      </c>
      <c r="J5">
        <v>115</v>
      </c>
      <c r="K5">
        <v>272.9</v>
      </c>
      <c r="L5">
        <v>2710</v>
      </c>
      <c r="M5">
        <v>880</v>
      </c>
      <c r="N5">
        <v>9659</v>
      </c>
      <c r="O5">
        <v>5000</v>
      </c>
      <c r="P5">
        <v>5000</v>
      </c>
      <c r="Q5" s="52">
        <f t="shared" si="1"/>
        <v>1058.5261992619926</v>
      </c>
      <c r="R5" s="52">
        <f t="shared" si="2"/>
        <v>3081.4738007380074</v>
      </c>
      <c r="S5" s="52">
        <f t="shared" si="3"/>
        <v>3081.4738007380074</v>
      </c>
      <c r="T5">
        <v>-1262.2</v>
      </c>
      <c r="U5">
        <v>226.1</v>
      </c>
      <c r="V5">
        <v>1353.3</v>
      </c>
      <c r="W5">
        <v>754</v>
      </c>
      <c r="X5" t="s">
        <v>401</v>
      </c>
      <c r="Y5" t="s">
        <v>401</v>
      </c>
      <c r="Z5" t="s">
        <v>401</v>
      </c>
      <c r="AA5" t="s">
        <v>401</v>
      </c>
      <c r="AF5">
        <v>3145</v>
      </c>
      <c r="AG5">
        <f>VLOOKUP('Ballast Calculator'!$D$67,'Drop down Options'!$CS$289:$CV$293,4,FALSE)*Platforms!T5/Platforms!L5</f>
        <v>-288.7690036900369</v>
      </c>
      <c r="AH5">
        <f>VLOOKUP('Ballast Calculator'!$D$67,'Drop down Options'!$CS$289:$CV$293,4,FALSE)+(VLOOKUP('Ballast Calculator'!$D$67,'Drop down Options'!$CS$289:$CV$293,4,FALSE)*T5)/L5</f>
        <v>331.2309963099631</v>
      </c>
      <c r="AI5">
        <f>VLOOKUP('Ballast Calculator'!$D$67,'Drop down Options'!$CS$289:$CV$293,4,FALSE)*(Platforms!L5+Platforms!T5)/Platforms!L5</f>
        <v>331.2309963099631</v>
      </c>
      <c r="AJ5">
        <v>-1130.5</v>
      </c>
      <c r="AK5">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5">
        <f>IF(VLOOKUP('Ballast Calculator'!$D$50,'Drop down Options'!$AN$202:$AQ$210,4,FALSE)="",0,Platforms!AK5)</f>
        <v>2494.5318654318653</v>
      </c>
      <c r="AM5">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5">
        <f>IF(VLOOKUP('Ballast Calculator'!$D$50,'Drop down Options'!$AN$202:$AQ$210,4,FALSE)="",0,Platforms!AM5)</f>
        <v>-1106.2318654318653</v>
      </c>
      <c r="AO5">
        <f>VLOOKUP('Ballast Calculator'!$D$54,'Drop down Options'!$CN$277:$CR$280,5,FALSE)*Platforms!AJ5/Platforms!L5</f>
        <v>0</v>
      </c>
      <c r="AP5" s="167">
        <f>VLOOKUP('Ballast Calculator'!$D$54,'Drop down Options'!$CN$277:$CR$280,5,FALSE)+VLOOKUP('Ballast Calculator'!$D$54,'Drop down Options'!$CN$277:$CR$280,5,FALSE)*Platforms!AJ5/Platforms!L5</f>
        <v>0</v>
      </c>
      <c r="AQ5" s="167">
        <f>VLOOKUP('Ballast Calculator'!$D$54,'Drop down Options'!$CN$277:$CR$280,5,FALSE)*(Platforms!AJ5+Platforms!L5)/Platforms!L5</f>
        <v>0</v>
      </c>
      <c r="AR5">
        <f>VLOOKUP('Ballast Calculator'!$D$61,'Drop down Options'!$BW$215:$BZ$248,4,FALSE)*(Platforms!L5+Platforms!AF5)/Platforms!L5</f>
        <v>0</v>
      </c>
      <c r="AS5" s="167">
        <f>-AR5+VLOOKUP('Ballast Calculator'!$D$61,'Drop down Options'!$BW$215:$BZ$248,4,FALSE)</f>
        <v>0</v>
      </c>
      <c r="AT5" s="167">
        <f>-VLOOKUP('Ballast Calculator'!$D$61,'Drop down Options'!$BW$215:$BZ$248,4,FALSE)*Platforms!AF5/Platforms!L5</f>
        <v>0</v>
      </c>
      <c r="AU5">
        <v>0</v>
      </c>
      <c r="AV5">
        <f>VLOOKUP('Ballast Calculator'!$D$64,'Drop down Options'!$CF$253:$CI$272,4,FALSE)</f>
        <v>77</v>
      </c>
      <c r="AW5">
        <f>VLOOKUP('Ballast Calculator'!$D$67,'Drop down Options'!$CS$289:$CV$293,4,FALSE)*Platforms!AZ5/Platforms!L5</f>
        <v>-326.44944649446495</v>
      </c>
      <c r="AX5">
        <f>AW5+VLOOKUP('Ballast Calculator'!$D$67,'Drop down Options'!$CS$289:$CV$293,4,FALSE)</f>
        <v>293.55055350553505</v>
      </c>
      <c r="AY5">
        <f>VLOOKUP('Ballast Calculator'!$D$67,'Drop down Options'!$CS$289:$CV$293,4,FALSE)*(Platforms!AZ5+Platforms!L5)/Platforms!L5</f>
        <v>293.55055350553505</v>
      </c>
      <c r="AZ5">
        <f t="shared" si="4"/>
        <v>-1426.9</v>
      </c>
    </row>
    <row r="6" spans="1:52" ht="12.75">
      <c r="A6" s="52" t="str">
        <f t="shared" si="0"/>
        <v>6100 DOOS2WDTSS-PWR REV</v>
      </c>
      <c r="B6">
        <v>4</v>
      </c>
      <c r="C6" t="s">
        <v>59</v>
      </c>
      <c r="D6" t="s">
        <v>63</v>
      </c>
      <c r="E6" t="s">
        <v>6</v>
      </c>
      <c r="F6" t="s">
        <v>62</v>
      </c>
      <c r="G6" s="53">
        <v>39870</v>
      </c>
      <c r="H6">
        <v>4140</v>
      </c>
      <c r="I6">
        <v>692.9</v>
      </c>
      <c r="J6">
        <v>115</v>
      </c>
      <c r="K6">
        <v>272.9</v>
      </c>
      <c r="L6">
        <v>2710</v>
      </c>
      <c r="M6">
        <v>880</v>
      </c>
      <c r="N6">
        <v>9659</v>
      </c>
      <c r="O6">
        <v>5000</v>
      </c>
      <c r="P6">
        <v>5000</v>
      </c>
      <c r="Q6" s="52">
        <f t="shared" si="1"/>
        <v>1058.5261992619926</v>
      </c>
      <c r="R6" s="52">
        <f t="shared" si="2"/>
        <v>3081.4738007380074</v>
      </c>
      <c r="S6" s="52">
        <f t="shared" si="3"/>
        <v>3081.4738007380074</v>
      </c>
      <c r="T6">
        <v>-1262.2</v>
      </c>
      <c r="U6">
        <v>226.1</v>
      </c>
      <c r="V6">
        <v>1353.3</v>
      </c>
      <c r="W6">
        <v>754</v>
      </c>
      <c r="X6" t="s">
        <v>401</v>
      </c>
      <c r="Y6" t="s">
        <v>401</v>
      </c>
      <c r="Z6" t="s">
        <v>401</v>
      </c>
      <c r="AA6" t="s">
        <v>401</v>
      </c>
      <c r="AF6">
        <v>3145</v>
      </c>
      <c r="AG6">
        <f>VLOOKUP('Ballast Calculator'!$D$67,'Drop down Options'!$CS$289:$CV$293,4,FALSE)*Platforms!T6/Platforms!L6</f>
        <v>-288.7690036900369</v>
      </c>
      <c r="AH6">
        <f>VLOOKUP('Ballast Calculator'!$D$67,'Drop down Options'!$CS$289:$CV$293,4,FALSE)+(VLOOKUP('Ballast Calculator'!$D$67,'Drop down Options'!$CS$289:$CV$293,4,FALSE)*T6)/L6</f>
        <v>331.2309963099631</v>
      </c>
      <c r="AI6">
        <f>VLOOKUP('Ballast Calculator'!$D$67,'Drop down Options'!$CS$289:$CV$293,4,FALSE)*(Platforms!L6+Platforms!T6)/Platforms!L6</f>
        <v>331.2309963099631</v>
      </c>
      <c r="AJ6">
        <v>-1130.5</v>
      </c>
      <c r="AK6">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6">
        <f>IF(VLOOKUP('Ballast Calculator'!$D$50,'Drop down Options'!$AN$202:$AQ$210,4,FALSE)="",0,Platforms!AK6)</f>
        <v>2494.5318654318653</v>
      </c>
      <c r="AM6">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6">
        <f>IF(VLOOKUP('Ballast Calculator'!$D$50,'Drop down Options'!$AN$202:$AQ$210,4,FALSE)="",0,Platforms!AM6)</f>
        <v>-1106.2318654318653</v>
      </c>
      <c r="AO6">
        <f>VLOOKUP('Ballast Calculator'!$D$54,'Drop down Options'!$CN$277:$CR$280,5,FALSE)*Platforms!AJ6/Platforms!L6</f>
        <v>0</v>
      </c>
      <c r="AP6" s="167">
        <f>VLOOKUP('Ballast Calculator'!$D$54,'Drop down Options'!$CN$277:$CR$280,5,FALSE)+VLOOKUP('Ballast Calculator'!$D$54,'Drop down Options'!$CN$277:$CR$280,5,FALSE)*Platforms!AJ6/Platforms!L6</f>
        <v>0</v>
      </c>
      <c r="AQ6" s="167">
        <f>VLOOKUP('Ballast Calculator'!$D$54,'Drop down Options'!$CN$277:$CR$280,5,FALSE)*(Platforms!AJ6+Platforms!L6)/Platforms!L6</f>
        <v>0</v>
      </c>
      <c r="AR6">
        <f>VLOOKUP('Ballast Calculator'!$D$61,'Drop down Options'!$BW$215:$BZ$248,4,FALSE)*(Platforms!L6+Platforms!AF6)/Platforms!L6</f>
        <v>0</v>
      </c>
      <c r="AS6" s="167">
        <f>-AR6+VLOOKUP('Ballast Calculator'!$D$61,'Drop down Options'!$BW$215:$BZ$248,4,FALSE)</f>
        <v>0</v>
      </c>
      <c r="AT6" s="167">
        <f>-VLOOKUP('Ballast Calculator'!$D$61,'Drop down Options'!$BW$215:$BZ$248,4,FALSE)*Platforms!AF6/Platforms!L6</f>
        <v>0</v>
      </c>
      <c r="AU6">
        <v>0</v>
      </c>
      <c r="AV6">
        <f>VLOOKUP('Ballast Calculator'!$D$64,'Drop down Options'!$CF$253:$CI$272,4,FALSE)</f>
        <v>77</v>
      </c>
      <c r="AW6">
        <f>VLOOKUP('Ballast Calculator'!$D$67,'Drop down Options'!$CS$289:$CV$293,4,FALSE)*Platforms!AZ6/Platforms!L6</f>
        <v>-326.44944649446495</v>
      </c>
      <c r="AX6">
        <f>AW6+VLOOKUP('Ballast Calculator'!$D$67,'Drop down Options'!$CS$289:$CV$293,4,FALSE)</f>
        <v>293.55055350553505</v>
      </c>
      <c r="AY6">
        <f>VLOOKUP('Ballast Calculator'!$D$67,'Drop down Options'!$CS$289:$CV$293,4,FALSE)*(Platforms!AZ6+Platforms!L6)/Platforms!L6</f>
        <v>293.55055350553505</v>
      </c>
      <c r="AZ6">
        <f t="shared" si="4"/>
        <v>-1426.9</v>
      </c>
    </row>
    <row r="7" spans="1:52" ht="12.75">
      <c r="A7" s="52" t="str">
        <f t="shared" si="0"/>
        <v>6100 DCABMFWDTSS</v>
      </c>
      <c r="B7">
        <v>5</v>
      </c>
      <c r="C7" t="s">
        <v>59</v>
      </c>
      <c r="D7" t="s">
        <v>60</v>
      </c>
      <c r="E7" t="s">
        <v>64</v>
      </c>
      <c r="F7" t="s">
        <v>61</v>
      </c>
      <c r="G7" s="53">
        <v>39870</v>
      </c>
      <c r="H7">
        <v>4208</v>
      </c>
      <c r="I7">
        <v>899.25</v>
      </c>
      <c r="J7">
        <v>121.15</v>
      </c>
      <c r="K7">
        <v>400</v>
      </c>
      <c r="L7">
        <v>2645.5</v>
      </c>
      <c r="M7">
        <v>880</v>
      </c>
      <c r="N7">
        <v>9659</v>
      </c>
      <c r="O7">
        <v>5800</v>
      </c>
      <c r="P7">
        <v>5000</v>
      </c>
      <c r="Q7" s="52">
        <f t="shared" si="1"/>
        <v>1430.3700623700624</v>
      </c>
      <c r="R7" s="52">
        <f t="shared" si="2"/>
        <v>2777.6299376299376</v>
      </c>
      <c r="S7" s="52">
        <f t="shared" si="3"/>
        <v>2777.6299376299376</v>
      </c>
      <c r="T7">
        <v>-1262.2</v>
      </c>
      <c r="U7">
        <v>226.1</v>
      </c>
      <c r="V7">
        <v>1353.3</v>
      </c>
      <c r="W7">
        <v>754</v>
      </c>
      <c r="X7" t="s">
        <v>401</v>
      </c>
      <c r="Y7" t="s">
        <v>401</v>
      </c>
      <c r="Z7" t="s">
        <v>401</v>
      </c>
      <c r="AA7" t="s">
        <v>401</v>
      </c>
      <c r="AF7">
        <v>3145</v>
      </c>
      <c r="AG7">
        <f>VLOOKUP('Ballast Calculator'!$D$67,'Drop down Options'!$CS$289:$CV$293,4,FALSE)*Platforms!T7/Platforms!L7</f>
        <v>-295.8094878094878</v>
      </c>
      <c r="AH7">
        <f>VLOOKUP('Ballast Calculator'!$D$67,'Drop down Options'!$CS$289:$CV$293,4,FALSE)+(VLOOKUP('Ballast Calculator'!$D$67,'Drop down Options'!$CS$289:$CV$293,4,FALSE)*T7)/L7</f>
        <v>324.1905121905122</v>
      </c>
      <c r="AI7">
        <f>VLOOKUP('Ballast Calculator'!$D$67,'Drop down Options'!$CS$289:$CV$293,4,FALSE)*(Platforms!L7+Platforms!T7)/Platforms!L7</f>
        <v>324.1905121905122</v>
      </c>
      <c r="AJ7">
        <v>-1130.5</v>
      </c>
      <c r="AK7">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7">
        <f>IF(VLOOKUP('Ballast Calculator'!$D$50,'Drop down Options'!$AN$202:$AQ$210,4,FALSE)="",0,Platforms!AK7)</f>
        <v>2494.5318654318653</v>
      </c>
      <c r="AM7">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7">
        <f>IF(VLOOKUP('Ballast Calculator'!$D$50,'Drop down Options'!$AN$202:$AQ$210,4,FALSE)="",0,Platforms!AM7)</f>
        <v>-1106.2318654318653</v>
      </c>
      <c r="AO7">
        <f>VLOOKUP('Ballast Calculator'!$D$54,'Drop down Options'!$CN$277:$CR$280,5,FALSE)*Platforms!AJ7/Platforms!L7</f>
        <v>0</v>
      </c>
      <c r="AP7" s="167">
        <f>VLOOKUP('Ballast Calculator'!$D$54,'Drop down Options'!$CN$277:$CR$280,5,FALSE)+VLOOKUP('Ballast Calculator'!$D$54,'Drop down Options'!$CN$277:$CR$280,5,FALSE)*Platforms!AJ7/Platforms!L7</f>
        <v>0</v>
      </c>
      <c r="AQ7" s="167">
        <f>VLOOKUP('Ballast Calculator'!$D$54,'Drop down Options'!$CN$277:$CR$280,5,FALSE)*(Platforms!AJ7+Platforms!L7)/Platforms!L7</f>
        <v>0</v>
      </c>
      <c r="AR7">
        <f>VLOOKUP('Ballast Calculator'!$D$61,'Drop down Options'!$BW$215:$BZ$248,4,FALSE)*(Platforms!L7+Platforms!AF7)/Platforms!L7</f>
        <v>0</v>
      </c>
      <c r="AS7" s="167">
        <f>-AR7+VLOOKUP('Ballast Calculator'!$D$61,'Drop down Options'!$BW$215:$BZ$248,4,FALSE)</f>
        <v>0</v>
      </c>
      <c r="AT7" s="167">
        <f>-VLOOKUP('Ballast Calculator'!$D$61,'Drop down Options'!$BW$215:$BZ$248,4,FALSE)*Platforms!AF7/Platforms!L7</f>
        <v>0</v>
      </c>
      <c r="AU7">
        <v>0</v>
      </c>
      <c r="AV7">
        <f>VLOOKUP('Ballast Calculator'!$D$64,'Drop down Options'!$CF$253:$CI$272,4,FALSE)</f>
        <v>77</v>
      </c>
      <c r="AW7">
        <f>VLOOKUP('Ballast Calculator'!$D$67,'Drop down Options'!$CS$289:$CV$293,4,FALSE)*Platforms!AZ7/Platforms!L7</f>
        <v>-334.4086184086184</v>
      </c>
      <c r="AX7">
        <f>AW7+VLOOKUP('Ballast Calculator'!$D$67,'Drop down Options'!$CS$289:$CV$293,4,FALSE)</f>
        <v>285.5913815913816</v>
      </c>
      <c r="AY7">
        <f>VLOOKUP('Ballast Calculator'!$D$67,'Drop down Options'!$CS$289:$CV$293,4,FALSE)*(Platforms!AZ7+Platforms!L7)/Platforms!L7</f>
        <v>285.5913815913816</v>
      </c>
      <c r="AZ7">
        <f t="shared" si="4"/>
        <v>-1426.9</v>
      </c>
    </row>
    <row r="8" spans="1:52" ht="12.75">
      <c r="A8" s="52" t="str">
        <f t="shared" si="0"/>
        <v>6100 DCABMFWDTSS-PWR REV</v>
      </c>
      <c r="B8">
        <v>6</v>
      </c>
      <c r="C8" t="s">
        <v>59</v>
      </c>
      <c r="D8" t="s">
        <v>60</v>
      </c>
      <c r="E8" t="s">
        <v>64</v>
      </c>
      <c r="F8" t="s">
        <v>62</v>
      </c>
      <c r="G8" s="53">
        <v>39870</v>
      </c>
      <c r="H8">
        <v>4208</v>
      </c>
      <c r="I8">
        <v>899.25</v>
      </c>
      <c r="J8">
        <v>121.15</v>
      </c>
      <c r="K8">
        <v>400</v>
      </c>
      <c r="L8">
        <v>2645.5</v>
      </c>
      <c r="M8">
        <v>880</v>
      </c>
      <c r="N8">
        <v>9659</v>
      </c>
      <c r="O8">
        <v>5800</v>
      </c>
      <c r="P8">
        <v>5000</v>
      </c>
      <c r="Q8" s="52">
        <f t="shared" si="1"/>
        <v>1430.3700623700624</v>
      </c>
      <c r="R8" s="52">
        <f t="shared" si="2"/>
        <v>2777.6299376299376</v>
      </c>
      <c r="S8" s="52">
        <f t="shared" si="3"/>
        <v>2777.6299376299376</v>
      </c>
      <c r="T8">
        <v>-1262.2</v>
      </c>
      <c r="U8">
        <v>226.1</v>
      </c>
      <c r="V8">
        <v>1353.3</v>
      </c>
      <c r="W8">
        <v>754</v>
      </c>
      <c r="X8" t="s">
        <v>401</v>
      </c>
      <c r="Y8" t="s">
        <v>401</v>
      </c>
      <c r="Z8" t="s">
        <v>401</v>
      </c>
      <c r="AA8" t="s">
        <v>401</v>
      </c>
      <c r="AF8">
        <v>3145</v>
      </c>
      <c r="AG8">
        <f>VLOOKUP('Ballast Calculator'!$D$67,'Drop down Options'!$CS$289:$CV$293,4,FALSE)*Platforms!T8/Platforms!L8</f>
        <v>-295.8094878094878</v>
      </c>
      <c r="AH8">
        <f>VLOOKUP('Ballast Calculator'!$D$67,'Drop down Options'!$CS$289:$CV$293,4,FALSE)+(VLOOKUP('Ballast Calculator'!$D$67,'Drop down Options'!$CS$289:$CV$293,4,FALSE)*T8)/L8</f>
        <v>324.1905121905122</v>
      </c>
      <c r="AI8">
        <f>VLOOKUP('Ballast Calculator'!$D$67,'Drop down Options'!$CS$289:$CV$293,4,FALSE)*(Platforms!L8+Platforms!T8)/Platforms!L8</f>
        <v>324.1905121905122</v>
      </c>
      <c r="AJ8">
        <v>-1130.5</v>
      </c>
      <c r="AK8">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8">
        <f>IF(VLOOKUP('Ballast Calculator'!$D$50,'Drop down Options'!$AN$202:$AQ$210,4,FALSE)="",0,Platforms!AK8)</f>
        <v>2494.5318654318653</v>
      </c>
      <c r="AM8">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8">
        <f>IF(VLOOKUP('Ballast Calculator'!$D$50,'Drop down Options'!$AN$202:$AQ$210,4,FALSE)="",0,Platforms!AM8)</f>
        <v>-1106.2318654318653</v>
      </c>
      <c r="AO8">
        <f>VLOOKUP('Ballast Calculator'!$D$54,'Drop down Options'!$CN$277:$CR$280,5,FALSE)*Platforms!AJ8/Platforms!L8</f>
        <v>0</v>
      </c>
      <c r="AP8" s="167">
        <f>VLOOKUP('Ballast Calculator'!$D$54,'Drop down Options'!$CN$277:$CR$280,5,FALSE)+VLOOKUP('Ballast Calculator'!$D$54,'Drop down Options'!$CN$277:$CR$280,5,FALSE)*Platforms!AJ8/Platforms!L8</f>
        <v>0</v>
      </c>
      <c r="AQ8" s="167">
        <f>VLOOKUP('Ballast Calculator'!$D$54,'Drop down Options'!$CN$277:$CR$280,5,FALSE)*(Platforms!AJ8+Platforms!L8)/Platforms!L8</f>
        <v>0</v>
      </c>
      <c r="AR8">
        <f>VLOOKUP('Ballast Calculator'!$D$61,'Drop down Options'!$BW$215:$BZ$248,4,FALSE)*(Platforms!L8+Platforms!AF8)/Platforms!L8</f>
        <v>0</v>
      </c>
      <c r="AS8" s="167">
        <f>-AR8+VLOOKUP('Ballast Calculator'!$D$61,'Drop down Options'!$BW$215:$BZ$248,4,FALSE)</f>
        <v>0</v>
      </c>
      <c r="AT8" s="167">
        <f>-VLOOKUP('Ballast Calculator'!$D$61,'Drop down Options'!$BW$215:$BZ$248,4,FALSE)*Platforms!AF8/Platforms!L8</f>
        <v>0</v>
      </c>
      <c r="AU8">
        <v>0</v>
      </c>
      <c r="AV8">
        <f>VLOOKUP('Ballast Calculator'!$D$64,'Drop down Options'!$CF$253:$CI$272,4,FALSE)</f>
        <v>77</v>
      </c>
      <c r="AW8">
        <f>VLOOKUP('Ballast Calculator'!$D$67,'Drop down Options'!$CS$289:$CV$293,4,FALSE)*Platforms!AZ8/Platforms!L8</f>
        <v>-334.4086184086184</v>
      </c>
      <c r="AX8">
        <f>AW8+VLOOKUP('Ballast Calculator'!$D$67,'Drop down Options'!$CS$289:$CV$293,4,FALSE)</f>
        <v>285.5913815913816</v>
      </c>
      <c r="AY8">
        <f>VLOOKUP('Ballast Calculator'!$D$67,'Drop down Options'!$CS$289:$CV$293,4,FALSE)*(Platforms!AZ8+Platforms!L8)/Platforms!L8</f>
        <v>285.5913815913816</v>
      </c>
      <c r="AZ8">
        <f t="shared" si="4"/>
        <v>-1426.9</v>
      </c>
    </row>
    <row r="9" spans="1:52" ht="12.75">
      <c r="A9" s="52" t="str">
        <f t="shared" si="0"/>
        <v>6100 DOOSMFWDTSS</v>
      </c>
      <c r="B9">
        <v>7</v>
      </c>
      <c r="C9" t="s">
        <v>59</v>
      </c>
      <c r="D9" t="s">
        <v>63</v>
      </c>
      <c r="E9" t="s">
        <v>64</v>
      </c>
      <c r="F9" t="s">
        <v>61</v>
      </c>
      <c r="G9" s="53">
        <v>39870</v>
      </c>
      <c r="H9">
        <v>4140</v>
      </c>
      <c r="I9">
        <v>899.25</v>
      </c>
      <c r="J9">
        <v>121.15</v>
      </c>
      <c r="K9">
        <v>400</v>
      </c>
      <c r="L9">
        <v>2645.5</v>
      </c>
      <c r="M9">
        <v>880</v>
      </c>
      <c r="N9">
        <v>9659</v>
      </c>
      <c r="O9">
        <v>5800</v>
      </c>
      <c r="P9">
        <v>5000</v>
      </c>
      <c r="Q9" s="52">
        <f t="shared" si="1"/>
        <v>1407.2557172557172</v>
      </c>
      <c r="R9" s="52">
        <f t="shared" si="2"/>
        <v>2732.744282744283</v>
      </c>
      <c r="S9" s="52">
        <f t="shared" si="3"/>
        <v>2732.744282744283</v>
      </c>
      <c r="T9">
        <v>-1262.2</v>
      </c>
      <c r="U9">
        <v>226.1</v>
      </c>
      <c r="V9" s="54">
        <v>1353.3</v>
      </c>
      <c r="W9" s="54">
        <v>754</v>
      </c>
      <c r="X9" t="s">
        <v>401</v>
      </c>
      <c r="Y9" t="s">
        <v>401</v>
      </c>
      <c r="Z9" t="s">
        <v>401</v>
      </c>
      <c r="AA9" t="s">
        <v>401</v>
      </c>
      <c r="AF9">
        <v>3145</v>
      </c>
      <c r="AG9">
        <f>VLOOKUP('Ballast Calculator'!$D$67,'Drop down Options'!$CS$289:$CV$293,4,FALSE)*Platforms!T9/Platforms!L9</f>
        <v>-295.8094878094878</v>
      </c>
      <c r="AH9">
        <f>VLOOKUP('Ballast Calculator'!$D$67,'Drop down Options'!$CS$289:$CV$293,4,FALSE)+(VLOOKUP('Ballast Calculator'!$D$67,'Drop down Options'!$CS$289:$CV$293,4,FALSE)*T9)/L9</f>
        <v>324.1905121905122</v>
      </c>
      <c r="AI9">
        <f>VLOOKUP('Ballast Calculator'!$D$67,'Drop down Options'!$CS$289:$CV$293,4,FALSE)*(Platforms!L9+Platforms!T9)/Platforms!L9</f>
        <v>324.1905121905122</v>
      </c>
      <c r="AJ9">
        <v>-1130.5</v>
      </c>
      <c r="AK9">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9">
        <f>IF(VLOOKUP('Ballast Calculator'!$D$50,'Drop down Options'!$AN$202:$AQ$210,4,FALSE)="",0,Platforms!AK9)</f>
        <v>2494.5318654318653</v>
      </c>
      <c r="AM9">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9">
        <f>IF(VLOOKUP('Ballast Calculator'!$D$50,'Drop down Options'!$AN$202:$AQ$210,4,FALSE)="",0,Platforms!AM9)</f>
        <v>-1106.2318654318653</v>
      </c>
      <c r="AO9">
        <f>VLOOKUP('Ballast Calculator'!$D$54,'Drop down Options'!$CN$277:$CR$280,5,FALSE)*Platforms!AJ9/Platforms!L9</f>
        <v>0</v>
      </c>
      <c r="AP9" s="167">
        <f>VLOOKUP('Ballast Calculator'!$D$54,'Drop down Options'!$CN$277:$CR$280,5,FALSE)+VLOOKUP('Ballast Calculator'!$D$54,'Drop down Options'!$CN$277:$CR$280,5,FALSE)*Platforms!AJ9/Platforms!L9</f>
        <v>0</v>
      </c>
      <c r="AQ9" s="167">
        <f>VLOOKUP('Ballast Calculator'!$D$54,'Drop down Options'!$CN$277:$CR$280,5,FALSE)*(Platforms!AJ9+Platforms!L9)/Platforms!L9</f>
        <v>0</v>
      </c>
      <c r="AR9">
        <f>VLOOKUP('Ballast Calculator'!$D$61,'Drop down Options'!$BW$215:$BZ$248,4,FALSE)*(Platforms!L9+Platforms!AF9)/Platforms!L9</f>
        <v>0</v>
      </c>
      <c r="AS9" s="167">
        <f>-AR9+VLOOKUP('Ballast Calculator'!$D$61,'Drop down Options'!$BW$215:$BZ$248,4,FALSE)</f>
        <v>0</v>
      </c>
      <c r="AT9" s="167">
        <f>-VLOOKUP('Ballast Calculator'!$D$61,'Drop down Options'!$BW$215:$BZ$248,4,FALSE)*Platforms!AF9/Platforms!L9</f>
        <v>0</v>
      </c>
      <c r="AU9">
        <v>0</v>
      </c>
      <c r="AV9">
        <f>VLOOKUP('Ballast Calculator'!$D$64,'Drop down Options'!$CF$253:$CI$272,4,FALSE)</f>
        <v>77</v>
      </c>
      <c r="AW9">
        <f>VLOOKUP('Ballast Calculator'!$D$67,'Drop down Options'!$CS$289:$CV$293,4,FALSE)*Platforms!AZ9/Platforms!L9</f>
        <v>-334.4086184086184</v>
      </c>
      <c r="AX9">
        <f>AW9+VLOOKUP('Ballast Calculator'!$D$67,'Drop down Options'!$CS$289:$CV$293,4,FALSE)</f>
        <v>285.5913815913816</v>
      </c>
      <c r="AY9">
        <f>VLOOKUP('Ballast Calculator'!$D$67,'Drop down Options'!$CS$289:$CV$293,4,FALSE)*(Platforms!AZ9+Platforms!L9)/Platforms!L9</f>
        <v>285.5913815913816</v>
      </c>
      <c r="AZ9">
        <f t="shared" si="4"/>
        <v>-1426.9</v>
      </c>
    </row>
    <row r="10" spans="1:52" ht="12.75">
      <c r="A10" s="52" t="str">
        <f t="shared" si="0"/>
        <v>6100 DOOSMFWDTSS-PWR REV</v>
      </c>
      <c r="B10">
        <v>8</v>
      </c>
      <c r="C10" t="s">
        <v>59</v>
      </c>
      <c r="D10" t="s">
        <v>63</v>
      </c>
      <c r="E10" t="s">
        <v>64</v>
      </c>
      <c r="F10" t="s">
        <v>62</v>
      </c>
      <c r="G10" s="53">
        <v>39870</v>
      </c>
      <c r="H10">
        <v>4140</v>
      </c>
      <c r="I10">
        <v>899.25</v>
      </c>
      <c r="J10">
        <v>121.15</v>
      </c>
      <c r="K10">
        <v>400</v>
      </c>
      <c r="L10">
        <v>2645.5</v>
      </c>
      <c r="M10">
        <v>880</v>
      </c>
      <c r="N10">
        <v>9659</v>
      </c>
      <c r="O10">
        <v>5800</v>
      </c>
      <c r="P10">
        <v>5000</v>
      </c>
      <c r="Q10" s="52">
        <f t="shared" si="1"/>
        <v>1407.2557172557172</v>
      </c>
      <c r="R10" s="52">
        <f t="shared" si="2"/>
        <v>2732.744282744283</v>
      </c>
      <c r="S10" s="52">
        <f t="shared" si="3"/>
        <v>2732.744282744283</v>
      </c>
      <c r="T10">
        <v>-1262.2</v>
      </c>
      <c r="U10">
        <v>226.1</v>
      </c>
      <c r="V10" s="54">
        <v>1353.3</v>
      </c>
      <c r="W10" s="54">
        <v>754</v>
      </c>
      <c r="X10" t="s">
        <v>401</v>
      </c>
      <c r="Y10" t="s">
        <v>401</v>
      </c>
      <c r="Z10" t="s">
        <v>401</v>
      </c>
      <c r="AA10" t="s">
        <v>401</v>
      </c>
      <c r="AF10">
        <v>3145</v>
      </c>
      <c r="AG10">
        <f>VLOOKUP('Ballast Calculator'!$D$67,'Drop down Options'!$CS$289:$CV$293,4,FALSE)*Platforms!T10/Platforms!L10</f>
        <v>-295.8094878094878</v>
      </c>
      <c r="AH10">
        <f>VLOOKUP('Ballast Calculator'!$D$67,'Drop down Options'!$CS$289:$CV$293,4,FALSE)+(VLOOKUP('Ballast Calculator'!$D$67,'Drop down Options'!$CS$289:$CV$293,4,FALSE)*T10)/L10</f>
        <v>324.1905121905122</v>
      </c>
      <c r="AI10">
        <f>VLOOKUP('Ballast Calculator'!$D$67,'Drop down Options'!$CS$289:$CV$293,4,FALSE)*(Platforms!L10+Platforms!T10)/Platforms!L10</f>
        <v>324.1905121905122</v>
      </c>
      <c r="AJ10">
        <v>-1130.5</v>
      </c>
      <c r="AK10">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10">
        <f>IF(VLOOKUP('Ballast Calculator'!$D$50,'Drop down Options'!$AN$202:$AQ$210,4,FALSE)="",0,Platforms!AK10)</f>
        <v>2494.5318654318653</v>
      </c>
      <c r="AM10">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10">
        <f>IF(VLOOKUP('Ballast Calculator'!$D$50,'Drop down Options'!$AN$202:$AQ$210,4,FALSE)="",0,Platforms!AM10)</f>
        <v>-1106.2318654318653</v>
      </c>
      <c r="AO10">
        <f>VLOOKUP('Ballast Calculator'!$D$54,'Drop down Options'!$CN$277:$CR$280,5,FALSE)*Platforms!AJ10/Platforms!L10</f>
        <v>0</v>
      </c>
      <c r="AP10" s="167">
        <f>VLOOKUP('Ballast Calculator'!$D$54,'Drop down Options'!$CN$277:$CR$280,5,FALSE)+VLOOKUP('Ballast Calculator'!$D$54,'Drop down Options'!$CN$277:$CR$280,5,FALSE)*Platforms!AJ10/Platforms!L10</f>
        <v>0</v>
      </c>
      <c r="AQ10" s="167">
        <f>VLOOKUP('Ballast Calculator'!$D$54,'Drop down Options'!$CN$277:$CR$280,5,FALSE)*(Platforms!AJ10+Platforms!L10)/Platforms!L10</f>
        <v>0</v>
      </c>
      <c r="AR10">
        <f>VLOOKUP('Ballast Calculator'!$D$61,'Drop down Options'!$BW$215:$BZ$248,4,FALSE)*(Platforms!L10+Platforms!AF10)/Platforms!L10</f>
        <v>0</v>
      </c>
      <c r="AS10" s="167">
        <f>-AR10+VLOOKUP('Ballast Calculator'!$D$61,'Drop down Options'!$BW$215:$BZ$248,4,FALSE)</f>
        <v>0</v>
      </c>
      <c r="AT10" s="167">
        <f>-VLOOKUP('Ballast Calculator'!$D$61,'Drop down Options'!$BW$215:$BZ$248,4,FALSE)*Platforms!AF10/Platforms!L10</f>
        <v>0</v>
      </c>
      <c r="AU10">
        <v>0</v>
      </c>
      <c r="AV10">
        <f>VLOOKUP('Ballast Calculator'!$D$64,'Drop down Options'!$CF$253:$CI$272,4,FALSE)</f>
        <v>77</v>
      </c>
      <c r="AW10">
        <f>VLOOKUP('Ballast Calculator'!$D$67,'Drop down Options'!$CS$289:$CV$293,4,FALSE)*Platforms!AZ10/Platforms!L10</f>
        <v>-334.4086184086184</v>
      </c>
      <c r="AX10">
        <f>AW10+VLOOKUP('Ballast Calculator'!$D$67,'Drop down Options'!$CS$289:$CV$293,4,FALSE)</f>
        <v>285.5913815913816</v>
      </c>
      <c r="AY10">
        <f>VLOOKUP('Ballast Calculator'!$D$67,'Drop down Options'!$CS$289:$CV$293,4,FALSE)*(Platforms!AZ10+Platforms!L10)/Platforms!L10</f>
        <v>285.5913815913816</v>
      </c>
      <c r="AZ10">
        <f t="shared" si="4"/>
        <v>-1426.9</v>
      </c>
    </row>
    <row r="11" spans="1:52" ht="12.75">
      <c r="A11" s="52" t="str">
        <f t="shared" si="0"/>
        <v>6115 DCAB2WDTSS</v>
      </c>
      <c r="B11">
        <v>9</v>
      </c>
      <c r="C11" t="s">
        <v>65</v>
      </c>
      <c r="D11" t="s">
        <v>60</v>
      </c>
      <c r="E11" t="s">
        <v>6</v>
      </c>
      <c r="F11" t="s">
        <v>61</v>
      </c>
      <c r="G11" s="53">
        <v>39870</v>
      </c>
      <c r="H11">
        <v>4208</v>
      </c>
      <c r="I11">
        <v>629.9</v>
      </c>
      <c r="J11">
        <v>115</v>
      </c>
      <c r="K11">
        <v>272.9</v>
      </c>
      <c r="L11">
        <v>2710</v>
      </c>
      <c r="M11">
        <v>880</v>
      </c>
      <c r="N11">
        <v>9659</v>
      </c>
      <c r="O11">
        <v>5000</v>
      </c>
      <c r="P11">
        <v>5000</v>
      </c>
      <c r="Q11" s="52">
        <f t="shared" si="1"/>
        <v>978.0882656826567</v>
      </c>
      <c r="R11" s="52">
        <f t="shared" si="2"/>
        <v>3229.9117343173434</v>
      </c>
      <c r="S11" s="52">
        <f t="shared" si="3"/>
        <v>3229.911734317343</v>
      </c>
      <c r="T11">
        <v>-1262.2</v>
      </c>
      <c r="U11">
        <v>226.1</v>
      </c>
      <c r="V11" s="54">
        <v>1353.3</v>
      </c>
      <c r="W11" s="54">
        <v>754</v>
      </c>
      <c r="X11" t="s">
        <v>401</v>
      </c>
      <c r="Y11" t="s">
        <v>401</v>
      </c>
      <c r="Z11" t="s">
        <v>401</v>
      </c>
      <c r="AA11" t="s">
        <v>401</v>
      </c>
      <c r="AF11">
        <v>3145</v>
      </c>
      <c r="AG11">
        <f>VLOOKUP('Ballast Calculator'!$D$67,'Drop down Options'!$CS$289:$CV$293,4,FALSE)*Platforms!T11/Platforms!L11</f>
        <v>-288.7690036900369</v>
      </c>
      <c r="AH11">
        <f>VLOOKUP('Ballast Calculator'!$D$67,'Drop down Options'!$CS$289:$CV$293,4,FALSE)+(VLOOKUP('Ballast Calculator'!$D$67,'Drop down Options'!$CS$289:$CV$293,4,FALSE)*T11)/L11</f>
        <v>331.2309963099631</v>
      </c>
      <c r="AI11">
        <f>VLOOKUP('Ballast Calculator'!$D$67,'Drop down Options'!$CS$289:$CV$293,4,FALSE)*(Platforms!L11+Platforms!T11)/Platforms!L11</f>
        <v>331.2309963099631</v>
      </c>
      <c r="AJ11">
        <v>-1130.5</v>
      </c>
      <c r="AK11">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11">
        <f>IF(VLOOKUP('Ballast Calculator'!$D$50,'Drop down Options'!$AN$202:$AQ$210,4,FALSE)="",0,Platforms!AK11)</f>
        <v>2494.5318654318653</v>
      </c>
      <c r="AM11">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11">
        <f>IF(VLOOKUP('Ballast Calculator'!$D$50,'Drop down Options'!$AN$202:$AQ$210,4,FALSE)="",0,Platforms!AM11)</f>
        <v>-1106.2318654318653</v>
      </c>
      <c r="AO11">
        <f>VLOOKUP('Ballast Calculator'!$D$54,'Drop down Options'!$CN$277:$CR$280,5,FALSE)*Platforms!AJ11/Platforms!L11</f>
        <v>0</v>
      </c>
      <c r="AP11" s="167">
        <f>VLOOKUP('Ballast Calculator'!$D$54,'Drop down Options'!$CN$277:$CR$280,5,FALSE)+VLOOKUP('Ballast Calculator'!$D$54,'Drop down Options'!$CN$277:$CR$280,5,FALSE)*Platforms!AJ11/Platforms!L11</f>
        <v>0</v>
      </c>
      <c r="AQ11" s="167">
        <f>VLOOKUP('Ballast Calculator'!$D$54,'Drop down Options'!$CN$277:$CR$280,5,FALSE)*(Platforms!AJ11+Platforms!L11)/Platforms!L11</f>
        <v>0</v>
      </c>
      <c r="AR11">
        <f>VLOOKUP('Ballast Calculator'!$D$61,'Drop down Options'!$BW$215:$BZ$248,4,FALSE)*(Platforms!L11+Platforms!AF11)/Platforms!L11</f>
        <v>0</v>
      </c>
      <c r="AS11" s="167">
        <f>-AR11+VLOOKUP('Ballast Calculator'!$D$61,'Drop down Options'!$BW$215:$BZ$248,4,FALSE)</f>
        <v>0</v>
      </c>
      <c r="AT11" s="167">
        <f>-VLOOKUP('Ballast Calculator'!$D$61,'Drop down Options'!$BW$215:$BZ$248,4,FALSE)*Platforms!AF11/Platforms!L11</f>
        <v>0</v>
      </c>
      <c r="AU11">
        <v>0</v>
      </c>
      <c r="AV11">
        <f>VLOOKUP('Ballast Calculator'!$D$64,'Drop down Options'!$CF$253:$CI$272,4,FALSE)</f>
        <v>77</v>
      </c>
      <c r="AW11">
        <f>VLOOKUP('Ballast Calculator'!$D$67,'Drop down Options'!$CS$289:$CV$293,4,FALSE)*Platforms!AZ11/Platforms!L11</f>
        <v>-326.44944649446495</v>
      </c>
      <c r="AX11">
        <f>AW11+VLOOKUP('Ballast Calculator'!$D$67,'Drop down Options'!$CS$289:$CV$293,4,FALSE)</f>
        <v>293.55055350553505</v>
      </c>
      <c r="AY11">
        <f>VLOOKUP('Ballast Calculator'!$D$67,'Drop down Options'!$CS$289:$CV$293,4,FALSE)*(Platforms!AZ11+Platforms!L11)/Platforms!L11</f>
        <v>293.55055350553505</v>
      </c>
      <c r="AZ11">
        <f t="shared" si="4"/>
        <v>-1426.9</v>
      </c>
    </row>
    <row r="12" spans="1:52" ht="12.75">
      <c r="A12" s="52" t="str">
        <f t="shared" si="0"/>
        <v>6115 DCAB2WDTSS-PWR REV</v>
      </c>
      <c r="B12">
        <v>10</v>
      </c>
      <c r="C12" t="s">
        <v>65</v>
      </c>
      <c r="D12" t="s">
        <v>60</v>
      </c>
      <c r="E12" t="s">
        <v>6</v>
      </c>
      <c r="F12" t="s">
        <v>62</v>
      </c>
      <c r="G12" s="53">
        <v>39870</v>
      </c>
      <c r="H12">
        <v>4208</v>
      </c>
      <c r="I12">
        <v>629.9</v>
      </c>
      <c r="J12">
        <v>115</v>
      </c>
      <c r="K12">
        <v>272.9</v>
      </c>
      <c r="L12">
        <v>2710</v>
      </c>
      <c r="M12">
        <v>880</v>
      </c>
      <c r="N12">
        <v>9659</v>
      </c>
      <c r="O12">
        <v>5000</v>
      </c>
      <c r="P12">
        <v>5000</v>
      </c>
      <c r="Q12" s="52">
        <f t="shared" si="1"/>
        <v>978.0882656826567</v>
      </c>
      <c r="R12" s="52">
        <f t="shared" si="2"/>
        <v>3229.9117343173434</v>
      </c>
      <c r="S12" s="52">
        <f t="shared" si="3"/>
        <v>3229.911734317343</v>
      </c>
      <c r="T12">
        <v>-1262.2</v>
      </c>
      <c r="U12">
        <v>226.1</v>
      </c>
      <c r="V12" s="54">
        <v>1353.3</v>
      </c>
      <c r="W12" s="54">
        <v>754</v>
      </c>
      <c r="X12" t="s">
        <v>401</v>
      </c>
      <c r="Y12" t="s">
        <v>401</v>
      </c>
      <c r="Z12" t="s">
        <v>401</v>
      </c>
      <c r="AA12" t="s">
        <v>401</v>
      </c>
      <c r="AF12">
        <v>3145</v>
      </c>
      <c r="AG12">
        <f>VLOOKUP('Ballast Calculator'!$D$67,'Drop down Options'!$CS$289:$CV$293,4,FALSE)*Platforms!T12/Platforms!L12</f>
        <v>-288.7690036900369</v>
      </c>
      <c r="AH12">
        <f>VLOOKUP('Ballast Calculator'!$D$67,'Drop down Options'!$CS$289:$CV$293,4,FALSE)+(VLOOKUP('Ballast Calculator'!$D$67,'Drop down Options'!$CS$289:$CV$293,4,FALSE)*T12)/L12</f>
        <v>331.2309963099631</v>
      </c>
      <c r="AI12">
        <f>VLOOKUP('Ballast Calculator'!$D$67,'Drop down Options'!$CS$289:$CV$293,4,FALSE)*(Platforms!L12+Platforms!T12)/Platforms!L12</f>
        <v>331.2309963099631</v>
      </c>
      <c r="AJ12">
        <v>-1130.5</v>
      </c>
      <c r="AK12">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12">
        <f>IF(VLOOKUP('Ballast Calculator'!$D$50,'Drop down Options'!$AN$202:$AQ$210,4,FALSE)="",0,Platforms!AK12)</f>
        <v>2494.5318654318653</v>
      </c>
      <c r="AM12">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12">
        <f>IF(VLOOKUP('Ballast Calculator'!$D$50,'Drop down Options'!$AN$202:$AQ$210,4,FALSE)="",0,Platforms!AM12)</f>
        <v>-1106.2318654318653</v>
      </c>
      <c r="AO12">
        <f>VLOOKUP('Ballast Calculator'!$D$54,'Drop down Options'!$CN$277:$CR$280,5,FALSE)*Platforms!AJ12/Platforms!L12</f>
        <v>0</v>
      </c>
      <c r="AP12" s="167">
        <f>VLOOKUP('Ballast Calculator'!$D$54,'Drop down Options'!$CN$277:$CR$280,5,FALSE)+VLOOKUP('Ballast Calculator'!$D$54,'Drop down Options'!$CN$277:$CR$280,5,FALSE)*Platforms!AJ12/Platforms!L12</f>
        <v>0</v>
      </c>
      <c r="AQ12" s="167">
        <f>VLOOKUP('Ballast Calculator'!$D$54,'Drop down Options'!$CN$277:$CR$280,5,FALSE)*(Platforms!AJ12+Platforms!L12)/Platforms!L12</f>
        <v>0</v>
      </c>
      <c r="AR12">
        <f>VLOOKUP('Ballast Calculator'!$D$61,'Drop down Options'!$BW$215:$BZ$248,4,FALSE)*(Platforms!L12+Platforms!AF12)/Platforms!L12</f>
        <v>0</v>
      </c>
      <c r="AS12" s="167">
        <f>-AR12+VLOOKUP('Ballast Calculator'!$D$61,'Drop down Options'!$BW$215:$BZ$248,4,FALSE)</f>
        <v>0</v>
      </c>
      <c r="AT12" s="167">
        <f>-VLOOKUP('Ballast Calculator'!$D$61,'Drop down Options'!$BW$215:$BZ$248,4,FALSE)*Platforms!AF12/Platforms!L12</f>
        <v>0</v>
      </c>
      <c r="AU12">
        <v>0</v>
      </c>
      <c r="AV12">
        <f>VLOOKUP('Ballast Calculator'!$D$64,'Drop down Options'!$CF$253:$CI$272,4,FALSE)</f>
        <v>77</v>
      </c>
      <c r="AW12">
        <f>VLOOKUP('Ballast Calculator'!$D$67,'Drop down Options'!$CS$289:$CV$293,4,FALSE)*Platforms!AZ12/Platforms!L12</f>
        <v>-326.44944649446495</v>
      </c>
      <c r="AX12">
        <f>AW12+VLOOKUP('Ballast Calculator'!$D$67,'Drop down Options'!$CS$289:$CV$293,4,FALSE)</f>
        <v>293.55055350553505</v>
      </c>
      <c r="AY12">
        <f>VLOOKUP('Ballast Calculator'!$D$67,'Drop down Options'!$CS$289:$CV$293,4,FALSE)*(Platforms!AZ12+Platforms!L12)/Platforms!L12</f>
        <v>293.55055350553505</v>
      </c>
      <c r="AZ12">
        <f t="shared" si="4"/>
        <v>-1426.9</v>
      </c>
    </row>
    <row r="13" spans="1:52" ht="12.75">
      <c r="A13" s="52" t="str">
        <f t="shared" si="0"/>
        <v>6115 DCABMFWDTSS</v>
      </c>
      <c r="B13">
        <v>11</v>
      </c>
      <c r="C13" t="s">
        <v>65</v>
      </c>
      <c r="D13" t="s">
        <v>60</v>
      </c>
      <c r="E13" t="s">
        <v>64</v>
      </c>
      <c r="F13" t="s">
        <v>61</v>
      </c>
      <c r="G13" s="53">
        <v>39870</v>
      </c>
      <c r="H13">
        <v>4208</v>
      </c>
      <c r="I13">
        <v>899.25</v>
      </c>
      <c r="J13">
        <v>121.15</v>
      </c>
      <c r="K13">
        <v>400</v>
      </c>
      <c r="L13">
        <v>2645.5</v>
      </c>
      <c r="M13">
        <v>880</v>
      </c>
      <c r="N13">
        <v>9659</v>
      </c>
      <c r="O13">
        <v>5800</v>
      </c>
      <c r="P13">
        <v>5000</v>
      </c>
      <c r="Q13" s="52">
        <f t="shared" si="1"/>
        <v>1430.3700623700624</v>
      </c>
      <c r="R13" s="52">
        <f t="shared" si="2"/>
        <v>2777.6299376299376</v>
      </c>
      <c r="S13" s="52">
        <f t="shared" si="3"/>
        <v>2777.6299376299376</v>
      </c>
      <c r="T13">
        <v>-1262.2</v>
      </c>
      <c r="U13">
        <v>226.1</v>
      </c>
      <c r="V13" s="54">
        <v>1353.3</v>
      </c>
      <c r="W13" s="54">
        <v>754</v>
      </c>
      <c r="X13" t="s">
        <v>401</v>
      </c>
      <c r="Y13" t="s">
        <v>401</v>
      </c>
      <c r="Z13" t="s">
        <v>401</v>
      </c>
      <c r="AA13" t="s">
        <v>401</v>
      </c>
      <c r="AF13">
        <v>3145</v>
      </c>
      <c r="AG13">
        <f>VLOOKUP('Ballast Calculator'!$D$67,'Drop down Options'!$CS$289:$CV$293,4,FALSE)*Platforms!T13/Platforms!L13</f>
        <v>-295.8094878094878</v>
      </c>
      <c r="AH13">
        <f>VLOOKUP('Ballast Calculator'!$D$67,'Drop down Options'!$CS$289:$CV$293,4,FALSE)+(VLOOKUP('Ballast Calculator'!$D$67,'Drop down Options'!$CS$289:$CV$293,4,FALSE)*T13)/L13</f>
        <v>324.1905121905122</v>
      </c>
      <c r="AI13">
        <f>VLOOKUP('Ballast Calculator'!$D$67,'Drop down Options'!$CS$289:$CV$293,4,FALSE)*(Platforms!L13+Platforms!T13)/Platforms!L13</f>
        <v>324.1905121905122</v>
      </c>
      <c r="AJ13">
        <v>-1130.5</v>
      </c>
      <c r="AK13">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13">
        <f>IF(VLOOKUP('Ballast Calculator'!$D$50,'Drop down Options'!$AN$202:$AQ$210,4,FALSE)="",0,Platforms!AK13)</f>
        <v>2494.5318654318653</v>
      </c>
      <c r="AM13">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13">
        <f>IF(VLOOKUP('Ballast Calculator'!$D$50,'Drop down Options'!$AN$202:$AQ$210,4,FALSE)="",0,Platforms!AM13)</f>
        <v>-1106.2318654318653</v>
      </c>
      <c r="AO13">
        <f>VLOOKUP('Ballast Calculator'!$D$54,'Drop down Options'!$CN$277:$CR$280,5,FALSE)*Platforms!AJ13/Platforms!L13</f>
        <v>0</v>
      </c>
      <c r="AP13" s="167">
        <f>VLOOKUP('Ballast Calculator'!$D$54,'Drop down Options'!$CN$277:$CR$280,5,FALSE)+VLOOKUP('Ballast Calculator'!$D$54,'Drop down Options'!$CN$277:$CR$280,5,FALSE)*Platforms!AJ13/Platforms!L13</f>
        <v>0</v>
      </c>
      <c r="AQ13" s="167">
        <f>VLOOKUP('Ballast Calculator'!$D$54,'Drop down Options'!$CN$277:$CR$280,5,FALSE)*(Platforms!AJ13+Platforms!L13)/Platforms!L13</f>
        <v>0</v>
      </c>
      <c r="AR13">
        <f>VLOOKUP('Ballast Calculator'!$D$61,'Drop down Options'!$BW$215:$BZ$248,4,FALSE)*(Platforms!L13+Platforms!AF13)/Platforms!L13</f>
        <v>0</v>
      </c>
      <c r="AS13" s="167">
        <f>-AR13+VLOOKUP('Ballast Calculator'!$D$61,'Drop down Options'!$BW$215:$BZ$248,4,FALSE)</f>
        <v>0</v>
      </c>
      <c r="AT13" s="167">
        <f>-VLOOKUP('Ballast Calculator'!$D$61,'Drop down Options'!$BW$215:$BZ$248,4,FALSE)*Platforms!AF13/Platforms!L13</f>
        <v>0</v>
      </c>
      <c r="AU13">
        <v>0</v>
      </c>
      <c r="AV13">
        <f>VLOOKUP('Ballast Calculator'!$D$64,'Drop down Options'!$CF$253:$CI$272,4,FALSE)</f>
        <v>77</v>
      </c>
      <c r="AW13">
        <f>VLOOKUP('Ballast Calculator'!$D$67,'Drop down Options'!$CS$289:$CV$293,4,FALSE)*Platforms!AZ13/Platforms!L13</f>
        <v>-334.4086184086184</v>
      </c>
      <c r="AX13">
        <f>AW13+VLOOKUP('Ballast Calculator'!$D$67,'Drop down Options'!$CS$289:$CV$293,4,FALSE)</f>
        <v>285.5913815913816</v>
      </c>
      <c r="AY13">
        <f>VLOOKUP('Ballast Calculator'!$D$67,'Drop down Options'!$CS$289:$CV$293,4,FALSE)*(Platforms!AZ13+Platforms!L13)/Platforms!L13</f>
        <v>285.5913815913816</v>
      </c>
      <c r="AZ13">
        <f t="shared" si="4"/>
        <v>-1426.9</v>
      </c>
    </row>
    <row r="14" spans="1:52" ht="12.75">
      <c r="A14" s="52" t="str">
        <f t="shared" si="0"/>
        <v>6115 DCABMFWDTSS-PWR REV</v>
      </c>
      <c r="B14">
        <v>12</v>
      </c>
      <c r="C14" t="s">
        <v>65</v>
      </c>
      <c r="D14" t="s">
        <v>60</v>
      </c>
      <c r="E14" t="s">
        <v>64</v>
      </c>
      <c r="F14" t="s">
        <v>62</v>
      </c>
      <c r="G14" s="53">
        <v>39870</v>
      </c>
      <c r="H14">
        <v>4208</v>
      </c>
      <c r="I14">
        <v>899.25</v>
      </c>
      <c r="J14">
        <v>121.15</v>
      </c>
      <c r="K14">
        <v>400</v>
      </c>
      <c r="L14">
        <v>2645.5</v>
      </c>
      <c r="M14">
        <v>880</v>
      </c>
      <c r="N14">
        <v>9659</v>
      </c>
      <c r="O14">
        <v>5800</v>
      </c>
      <c r="P14">
        <v>5000</v>
      </c>
      <c r="Q14" s="52">
        <f t="shared" si="1"/>
        <v>1430.3700623700624</v>
      </c>
      <c r="R14" s="52">
        <f t="shared" si="2"/>
        <v>2777.6299376299376</v>
      </c>
      <c r="S14" s="52">
        <f t="shared" si="3"/>
        <v>2777.6299376299376</v>
      </c>
      <c r="T14">
        <v>-1262.2</v>
      </c>
      <c r="U14">
        <v>226.1</v>
      </c>
      <c r="V14" s="54">
        <v>1353.3</v>
      </c>
      <c r="W14" s="54">
        <v>754</v>
      </c>
      <c r="X14" t="s">
        <v>401</v>
      </c>
      <c r="Y14" t="s">
        <v>401</v>
      </c>
      <c r="Z14" t="s">
        <v>401</v>
      </c>
      <c r="AA14" t="s">
        <v>401</v>
      </c>
      <c r="AF14">
        <v>3145</v>
      </c>
      <c r="AG14">
        <f>VLOOKUP('Ballast Calculator'!$D$67,'Drop down Options'!$CS$289:$CV$293,4,FALSE)*Platforms!T14/Platforms!L14</f>
        <v>-295.8094878094878</v>
      </c>
      <c r="AH14">
        <f>VLOOKUP('Ballast Calculator'!$D$67,'Drop down Options'!$CS$289:$CV$293,4,FALSE)+(VLOOKUP('Ballast Calculator'!$D$67,'Drop down Options'!$CS$289:$CV$293,4,FALSE)*T14)/L14</f>
        <v>324.1905121905122</v>
      </c>
      <c r="AI14">
        <f>VLOOKUP('Ballast Calculator'!$D$67,'Drop down Options'!$CS$289:$CV$293,4,FALSE)*(Platforms!L14+Platforms!T14)/Platforms!L14</f>
        <v>324.1905121905122</v>
      </c>
      <c r="AJ14">
        <v>-1130.5</v>
      </c>
      <c r="AK14">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14">
        <f>IF(VLOOKUP('Ballast Calculator'!$D$50,'Drop down Options'!$AN$202:$AQ$210,4,FALSE)="",0,Platforms!AK14)</f>
        <v>2494.5318654318653</v>
      </c>
      <c r="AM14">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14">
        <f>IF(VLOOKUP('Ballast Calculator'!$D$50,'Drop down Options'!$AN$202:$AQ$210,4,FALSE)="",0,Platforms!AM14)</f>
        <v>-1106.2318654318653</v>
      </c>
      <c r="AO14">
        <f>VLOOKUP('Ballast Calculator'!$D$54,'Drop down Options'!$CN$277:$CR$280,5,FALSE)*Platforms!AJ14/Platforms!L14</f>
        <v>0</v>
      </c>
      <c r="AP14" s="167">
        <f>VLOOKUP('Ballast Calculator'!$D$54,'Drop down Options'!$CN$277:$CR$280,5,FALSE)+VLOOKUP('Ballast Calculator'!$D$54,'Drop down Options'!$CN$277:$CR$280,5,FALSE)*Platforms!AJ14/Platforms!L14</f>
        <v>0</v>
      </c>
      <c r="AQ14" s="167">
        <f>VLOOKUP('Ballast Calculator'!$D$54,'Drop down Options'!$CN$277:$CR$280,5,FALSE)*(Platforms!AJ14+Platforms!L14)/Platforms!L14</f>
        <v>0</v>
      </c>
      <c r="AR14">
        <f>VLOOKUP('Ballast Calculator'!$D$61,'Drop down Options'!$BW$215:$BZ$248,4,FALSE)*(Platforms!L14+Platforms!AF14)/Platforms!L14</f>
        <v>0</v>
      </c>
      <c r="AS14" s="167">
        <f>-AR14+VLOOKUP('Ballast Calculator'!$D$61,'Drop down Options'!$BW$215:$BZ$248,4,FALSE)</f>
        <v>0</v>
      </c>
      <c r="AT14" s="167">
        <f>-VLOOKUP('Ballast Calculator'!$D$61,'Drop down Options'!$BW$215:$BZ$248,4,FALSE)*Platforms!AF14/Platforms!L14</f>
        <v>0</v>
      </c>
      <c r="AU14">
        <v>0</v>
      </c>
      <c r="AV14">
        <f>VLOOKUP('Ballast Calculator'!$D$64,'Drop down Options'!$CF$253:$CI$272,4,FALSE)</f>
        <v>77</v>
      </c>
      <c r="AW14">
        <f>VLOOKUP('Ballast Calculator'!$D$67,'Drop down Options'!$CS$289:$CV$293,4,FALSE)*Platforms!AZ14/Platforms!L14</f>
        <v>-334.4086184086184</v>
      </c>
      <c r="AX14">
        <f>AW14+VLOOKUP('Ballast Calculator'!$D$67,'Drop down Options'!$CS$289:$CV$293,4,FALSE)</f>
        <v>285.5913815913816</v>
      </c>
      <c r="AY14">
        <f>VLOOKUP('Ballast Calculator'!$D$67,'Drop down Options'!$CS$289:$CV$293,4,FALSE)*(Platforms!AZ14+Platforms!L14)/Platforms!L14</f>
        <v>285.5913815913816</v>
      </c>
      <c r="AZ14">
        <f t="shared" si="4"/>
        <v>-1426.9</v>
      </c>
    </row>
    <row r="15" spans="1:52" ht="12.75">
      <c r="A15" s="52" t="str">
        <f t="shared" si="0"/>
        <v>6115 DOOSMFWDTSS</v>
      </c>
      <c r="B15">
        <v>13</v>
      </c>
      <c r="C15" t="s">
        <v>65</v>
      </c>
      <c r="D15" t="s">
        <v>63</v>
      </c>
      <c r="E15" t="s">
        <v>64</v>
      </c>
      <c r="F15" t="s">
        <v>61</v>
      </c>
      <c r="G15" s="53">
        <v>39870</v>
      </c>
      <c r="H15">
        <v>4140</v>
      </c>
      <c r="I15">
        <v>899.25</v>
      </c>
      <c r="J15">
        <v>121.15</v>
      </c>
      <c r="K15">
        <v>400</v>
      </c>
      <c r="L15">
        <v>2645.5</v>
      </c>
      <c r="M15">
        <v>880</v>
      </c>
      <c r="N15">
        <v>9659</v>
      </c>
      <c r="O15">
        <v>5800</v>
      </c>
      <c r="P15">
        <v>5000</v>
      </c>
      <c r="Q15" s="52">
        <f t="shared" si="1"/>
        <v>1407.2557172557172</v>
      </c>
      <c r="R15" s="52">
        <f t="shared" si="2"/>
        <v>2732.744282744283</v>
      </c>
      <c r="S15" s="52">
        <f t="shared" si="3"/>
        <v>2732.744282744283</v>
      </c>
      <c r="T15">
        <v>-1262.2</v>
      </c>
      <c r="U15">
        <v>226.1</v>
      </c>
      <c r="V15" s="54">
        <v>1353.3</v>
      </c>
      <c r="W15" s="54">
        <v>754</v>
      </c>
      <c r="X15" t="s">
        <v>401</v>
      </c>
      <c r="Y15" t="s">
        <v>401</v>
      </c>
      <c r="Z15" t="s">
        <v>401</v>
      </c>
      <c r="AA15" t="s">
        <v>401</v>
      </c>
      <c r="AF15">
        <v>3145</v>
      </c>
      <c r="AG15">
        <f>VLOOKUP('Ballast Calculator'!$D$67,'Drop down Options'!$CS$289:$CV$293,4,FALSE)*Platforms!T15/Platforms!L15</f>
        <v>-295.8094878094878</v>
      </c>
      <c r="AH15">
        <f>VLOOKUP('Ballast Calculator'!$D$67,'Drop down Options'!$CS$289:$CV$293,4,FALSE)+(VLOOKUP('Ballast Calculator'!$D$67,'Drop down Options'!$CS$289:$CV$293,4,FALSE)*T15)/L15</f>
        <v>324.1905121905122</v>
      </c>
      <c r="AI15">
        <f>VLOOKUP('Ballast Calculator'!$D$67,'Drop down Options'!$CS$289:$CV$293,4,FALSE)*(Platforms!L15+Platforms!T15)/Platforms!L15</f>
        <v>324.1905121905122</v>
      </c>
      <c r="AJ15">
        <v>-1130.5</v>
      </c>
      <c r="AK15">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15">
        <f>IF(VLOOKUP('Ballast Calculator'!$D$50,'Drop down Options'!$AN$202:$AQ$210,4,FALSE)="",0,Platforms!AK15)</f>
        <v>2494.5318654318653</v>
      </c>
      <c r="AM15">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15">
        <f>IF(VLOOKUP('Ballast Calculator'!$D$50,'Drop down Options'!$AN$202:$AQ$210,4,FALSE)="",0,Platforms!AM15)</f>
        <v>-1106.2318654318653</v>
      </c>
      <c r="AO15">
        <f>VLOOKUP('Ballast Calculator'!$D$54,'Drop down Options'!$CN$277:$CR$280,5,FALSE)*Platforms!AJ15/Platforms!L15</f>
        <v>0</v>
      </c>
      <c r="AP15" s="167">
        <f>VLOOKUP('Ballast Calculator'!$D$54,'Drop down Options'!$CN$277:$CR$280,5,FALSE)+VLOOKUP('Ballast Calculator'!$D$54,'Drop down Options'!$CN$277:$CR$280,5,FALSE)*Platforms!AJ15/Platforms!L15</f>
        <v>0</v>
      </c>
      <c r="AQ15" s="167">
        <f>VLOOKUP('Ballast Calculator'!$D$54,'Drop down Options'!$CN$277:$CR$280,5,FALSE)*(Platforms!AJ15+Platforms!L15)/Platforms!L15</f>
        <v>0</v>
      </c>
      <c r="AR15">
        <f>VLOOKUP('Ballast Calculator'!$D$61,'Drop down Options'!$BW$215:$BZ$248,4,FALSE)*(Platforms!L15+Platforms!AF15)/Platforms!L15</f>
        <v>0</v>
      </c>
      <c r="AS15" s="167">
        <f>-AR15+VLOOKUP('Ballast Calculator'!$D$61,'Drop down Options'!$BW$215:$BZ$248,4,FALSE)</f>
        <v>0</v>
      </c>
      <c r="AT15" s="167">
        <f>-VLOOKUP('Ballast Calculator'!$D$61,'Drop down Options'!$BW$215:$BZ$248,4,FALSE)*Platforms!AF15/Platforms!L15</f>
        <v>0</v>
      </c>
      <c r="AU15">
        <v>0</v>
      </c>
      <c r="AV15">
        <f>VLOOKUP('Ballast Calculator'!$D$64,'Drop down Options'!$CF$253:$CI$272,4,FALSE)</f>
        <v>77</v>
      </c>
      <c r="AW15">
        <f>VLOOKUP('Ballast Calculator'!$D$67,'Drop down Options'!$CS$289:$CV$293,4,FALSE)*Platforms!AZ15/Platforms!L15</f>
        <v>-334.4086184086184</v>
      </c>
      <c r="AX15">
        <f>AW15+VLOOKUP('Ballast Calculator'!$D$67,'Drop down Options'!$CS$289:$CV$293,4,FALSE)</f>
        <v>285.5913815913816</v>
      </c>
      <c r="AY15">
        <f>VLOOKUP('Ballast Calculator'!$D$67,'Drop down Options'!$CS$289:$CV$293,4,FALSE)*(Platforms!AZ15+Platforms!L15)/Platforms!L15</f>
        <v>285.5913815913816</v>
      </c>
      <c r="AZ15">
        <f t="shared" si="4"/>
        <v>-1426.9</v>
      </c>
    </row>
    <row r="16" spans="1:52" ht="12.75">
      <c r="A16" s="52" t="str">
        <f t="shared" si="0"/>
        <v>6115 DOOSMFWDTSS-PWR REV</v>
      </c>
      <c r="B16">
        <v>14</v>
      </c>
      <c r="C16" t="s">
        <v>65</v>
      </c>
      <c r="D16" t="s">
        <v>63</v>
      </c>
      <c r="E16" t="s">
        <v>64</v>
      </c>
      <c r="F16" t="s">
        <v>62</v>
      </c>
      <c r="G16" s="53">
        <v>39870</v>
      </c>
      <c r="H16">
        <v>4140</v>
      </c>
      <c r="I16">
        <v>899.25</v>
      </c>
      <c r="J16">
        <v>121.15</v>
      </c>
      <c r="K16">
        <v>400</v>
      </c>
      <c r="L16">
        <v>2645.5</v>
      </c>
      <c r="M16">
        <v>880</v>
      </c>
      <c r="N16">
        <v>9659</v>
      </c>
      <c r="O16">
        <v>5800</v>
      </c>
      <c r="P16">
        <v>5000</v>
      </c>
      <c r="Q16" s="52">
        <f t="shared" si="1"/>
        <v>1407.2557172557172</v>
      </c>
      <c r="R16" s="52">
        <f t="shared" si="2"/>
        <v>2732.744282744283</v>
      </c>
      <c r="S16" s="52">
        <f t="shared" si="3"/>
        <v>2732.744282744283</v>
      </c>
      <c r="T16">
        <v>-1262.2</v>
      </c>
      <c r="U16">
        <v>226.1</v>
      </c>
      <c r="V16" s="54">
        <v>1353.3</v>
      </c>
      <c r="W16" s="54">
        <v>754</v>
      </c>
      <c r="X16" t="s">
        <v>401</v>
      </c>
      <c r="Y16" t="s">
        <v>401</v>
      </c>
      <c r="Z16" t="s">
        <v>401</v>
      </c>
      <c r="AA16" t="s">
        <v>401</v>
      </c>
      <c r="AF16">
        <v>3145</v>
      </c>
      <c r="AG16">
        <f>VLOOKUP('Ballast Calculator'!$D$67,'Drop down Options'!$CS$289:$CV$293,4,FALSE)*Platforms!T16/Platforms!L16</f>
        <v>-295.8094878094878</v>
      </c>
      <c r="AH16">
        <f>VLOOKUP('Ballast Calculator'!$D$67,'Drop down Options'!$CS$289:$CV$293,4,FALSE)+(VLOOKUP('Ballast Calculator'!$D$67,'Drop down Options'!$CS$289:$CV$293,4,FALSE)*T16)/L16</f>
        <v>324.1905121905122</v>
      </c>
      <c r="AI16">
        <f>VLOOKUP('Ballast Calculator'!$D$67,'Drop down Options'!$CS$289:$CV$293,4,FALSE)*(Platforms!L16+Platforms!T16)/Platforms!L16</f>
        <v>324.1905121905122</v>
      </c>
      <c r="AJ16">
        <v>-1130.5</v>
      </c>
      <c r="AK16">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16">
        <f>IF(VLOOKUP('Ballast Calculator'!$D$50,'Drop down Options'!$AN$202:$AQ$210,4,FALSE)="",0,Platforms!AK16)</f>
        <v>2494.5318654318653</v>
      </c>
      <c r="AM16">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16">
        <f>IF(VLOOKUP('Ballast Calculator'!$D$50,'Drop down Options'!$AN$202:$AQ$210,4,FALSE)="",0,Platforms!AM16)</f>
        <v>-1106.2318654318653</v>
      </c>
      <c r="AO16">
        <f>VLOOKUP('Ballast Calculator'!$D$54,'Drop down Options'!$CN$277:$CR$280,5,FALSE)*Platforms!AJ16/Platforms!L16</f>
        <v>0</v>
      </c>
      <c r="AP16" s="167">
        <f>VLOOKUP('Ballast Calculator'!$D$54,'Drop down Options'!$CN$277:$CR$280,5,FALSE)+VLOOKUP('Ballast Calculator'!$D$54,'Drop down Options'!$CN$277:$CR$280,5,FALSE)*Platforms!AJ16/Platforms!L16</f>
        <v>0</v>
      </c>
      <c r="AQ16" s="167">
        <f>VLOOKUP('Ballast Calculator'!$D$54,'Drop down Options'!$CN$277:$CR$280,5,FALSE)*(Platforms!AJ16+Platforms!L16)/Platforms!L16</f>
        <v>0</v>
      </c>
      <c r="AR16">
        <f>VLOOKUP('Ballast Calculator'!$D$61,'Drop down Options'!$BW$215:$BZ$248,4,FALSE)*(Platforms!L16+Platforms!AF16)/Platforms!L16</f>
        <v>0</v>
      </c>
      <c r="AS16" s="167">
        <f>-AR16+VLOOKUP('Ballast Calculator'!$D$61,'Drop down Options'!$BW$215:$BZ$248,4,FALSE)</f>
        <v>0</v>
      </c>
      <c r="AT16" s="167">
        <f>-VLOOKUP('Ballast Calculator'!$D$61,'Drop down Options'!$BW$215:$BZ$248,4,FALSE)*Platforms!AF16/Platforms!L16</f>
        <v>0</v>
      </c>
      <c r="AU16">
        <v>0</v>
      </c>
      <c r="AV16">
        <f>VLOOKUP('Ballast Calculator'!$D$64,'Drop down Options'!$CF$253:$CI$272,4,FALSE)</f>
        <v>77</v>
      </c>
      <c r="AW16">
        <f>VLOOKUP('Ballast Calculator'!$D$67,'Drop down Options'!$CS$289:$CV$293,4,FALSE)*Platforms!AZ16/Platforms!L16</f>
        <v>-334.4086184086184</v>
      </c>
      <c r="AX16">
        <f>AW16+VLOOKUP('Ballast Calculator'!$D$67,'Drop down Options'!$CS$289:$CV$293,4,FALSE)</f>
        <v>285.5913815913816</v>
      </c>
      <c r="AY16">
        <f>VLOOKUP('Ballast Calculator'!$D$67,'Drop down Options'!$CS$289:$CV$293,4,FALSE)*(Platforms!AZ16+Platforms!L16)/Platforms!L16</f>
        <v>285.5913815913816</v>
      </c>
      <c r="AZ16">
        <f t="shared" si="4"/>
        <v>-1426.9</v>
      </c>
    </row>
    <row r="17" spans="1:52" ht="12.75">
      <c r="A17" s="52" t="str">
        <f t="shared" si="0"/>
        <v>6130 DCABMFWDTSS</v>
      </c>
      <c r="B17">
        <v>15</v>
      </c>
      <c r="C17" t="s">
        <v>66</v>
      </c>
      <c r="D17" t="s">
        <v>60</v>
      </c>
      <c r="E17" t="s">
        <v>64</v>
      </c>
      <c r="F17" t="s">
        <v>61</v>
      </c>
      <c r="G17" s="53">
        <v>39870</v>
      </c>
      <c r="H17">
        <v>4208</v>
      </c>
      <c r="I17">
        <v>899.25</v>
      </c>
      <c r="J17">
        <v>121.15</v>
      </c>
      <c r="K17">
        <v>400</v>
      </c>
      <c r="L17">
        <v>2645.5</v>
      </c>
      <c r="M17">
        <v>880</v>
      </c>
      <c r="N17">
        <v>9659</v>
      </c>
      <c r="O17">
        <v>5800</v>
      </c>
      <c r="P17">
        <v>5000</v>
      </c>
      <c r="Q17" s="52">
        <f t="shared" si="1"/>
        <v>1430.3700623700624</v>
      </c>
      <c r="R17" s="52">
        <f t="shared" si="2"/>
        <v>2777.6299376299376</v>
      </c>
      <c r="S17" s="52">
        <f t="shared" si="3"/>
        <v>2777.6299376299376</v>
      </c>
      <c r="T17">
        <v>-1262.2</v>
      </c>
      <c r="U17">
        <v>226.1</v>
      </c>
      <c r="V17" s="54">
        <v>1353.3</v>
      </c>
      <c r="W17" s="54">
        <v>754</v>
      </c>
      <c r="X17" t="s">
        <v>401</v>
      </c>
      <c r="Y17" t="s">
        <v>401</v>
      </c>
      <c r="Z17" t="s">
        <v>401</v>
      </c>
      <c r="AA17" t="s">
        <v>401</v>
      </c>
      <c r="AF17">
        <v>3145</v>
      </c>
      <c r="AG17">
        <f>VLOOKUP('Ballast Calculator'!$D$67,'Drop down Options'!$CS$289:$CV$293,4,FALSE)*Platforms!T17/Platforms!L17</f>
        <v>-295.8094878094878</v>
      </c>
      <c r="AH17">
        <f>VLOOKUP('Ballast Calculator'!$D$67,'Drop down Options'!$CS$289:$CV$293,4,FALSE)+(VLOOKUP('Ballast Calculator'!$D$67,'Drop down Options'!$CS$289:$CV$293,4,FALSE)*T17)/L17</f>
        <v>324.1905121905122</v>
      </c>
      <c r="AI17">
        <f>VLOOKUP('Ballast Calculator'!$D$67,'Drop down Options'!$CS$289:$CV$293,4,FALSE)*(Platforms!L17+Platforms!T17)/Platforms!L17</f>
        <v>324.1905121905122</v>
      </c>
      <c r="AJ17">
        <v>-1130.5</v>
      </c>
      <c r="AK17">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17">
        <f>IF(VLOOKUP('Ballast Calculator'!$D$50,'Drop down Options'!$AN$202:$AQ$210,4,FALSE)="",0,Platforms!AK17)</f>
        <v>2494.5318654318653</v>
      </c>
      <c r="AM17">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17">
        <f>IF(VLOOKUP('Ballast Calculator'!$D$50,'Drop down Options'!$AN$202:$AQ$210,4,FALSE)="",0,Platforms!AM17)</f>
        <v>-1106.2318654318653</v>
      </c>
      <c r="AO17">
        <f>VLOOKUP('Ballast Calculator'!$D$54,'Drop down Options'!$CN$277:$CR$280,5,FALSE)*Platforms!AJ17/Platforms!L17</f>
        <v>0</v>
      </c>
      <c r="AP17" s="167">
        <f>VLOOKUP('Ballast Calculator'!$D$54,'Drop down Options'!$CN$277:$CR$280,5,FALSE)+VLOOKUP('Ballast Calculator'!$D$54,'Drop down Options'!$CN$277:$CR$280,5,FALSE)*Platforms!AJ17/Platforms!L17</f>
        <v>0</v>
      </c>
      <c r="AQ17" s="167">
        <f>VLOOKUP('Ballast Calculator'!$D$54,'Drop down Options'!$CN$277:$CR$280,5,FALSE)*(Platforms!AJ17+Platforms!L17)/Platforms!L17</f>
        <v>0</v>
      </c>
      <c r="AR17">
        <f>VLOOKUP('Ballast Calculator'!$D$61,'Drop down Options'!$BW$215:$BZ$248,4,FALSE)*(Platforms!L17+Platforms!AF17)/Platforms!L17</f>
        <v>0</v>
      </c>
      <c r="AS17" s="167">
        <f>-AR17+VLOOKUP('Ballast Calculator'!$D$61,'Drop down Options'!$BW$215:$BZ$248,4,FALSE)</f>
        <v>0</v>
      </c>
      <c r="AT17" s="167">
        <f>-VLOOKUP('Ballast Calculator'!$D$61,'Drop down Options'!$BW$215:$BZ$248,4,FALSE)*Platforms!AF17/Platforms!L17</f>
        <v>0</v>
      </c>
      <c r="AU17">
        <v>0</v>
      </c>
      <c r="AV17">
        <f>VLOOKUP('Ballast Calculator'!$D$64,'Drop down Options'!$CF$253:$CI$272,4,FALSE)</f>
        <v>77</v>
      </c>
      <c r="AW17">
        <f>VLOOKUP('Ballast Calculator'!$D$67,'Drop down Options'!$CS$289:$CV$293,4,FALSE)*Platforms!AZ17/Platforms!L17</f>
        <v>-334.4086184086184</v>
      </c>
      <c r="AX17">
        <f>AW17+VLOOKUP('Ballast Calculator'!$D$67,'Drop down Options'!$CS$289:$CV$293,4,FALSE)</f>
        <v>285.5913815913816</v>
      </c>
      <c r="AY17">
        <f>VLOOKUP('Ballast Calculator'!$D$67,'Drop down Options'!$CS$289:$CV$293,4,FALSE)*(Platforms!AZ17+Platforms!L17)/Platforms!L17</f>
        <v>285.5913815913816</v>
      </c>
      <c r="AZ17">
        <f t="shared" si="4"/>
        <v>-1426.9</v>
      </c>
    </row>
    <row r="18" spans="1:52" ht="12.75">
      <c r="A18" s="52" t="str">
        <f t="shared" si="0"/>
        <v>6130 DCABMFWDTSS-PWR REV</v>
      </c>
      <c r="B18">
        <v>16</v>
      </c>
      <c r="C18" t="s">
        <v>66</v>
      </c>
      <c r="D18" t="s">
        <v>60</v>
      </c>
      <c r="E18" t="s">
        <v>64</v>
      </c>
      <c r="F18" t="s">
        <v>62</v>
      </c>
      <c r="G18" s="53">
        <v>39870</v>
      </c>
      <c r="H18">
        <v>4208</v>
      </c>
      <c r="I18">
        <v>899.25</v>
      </c>
      <c r="J18">
        <v>121.15</v>
      </c>
      <c r="K18">
        <v>400</v>
      </c>
      <c r="L18">
        <v>2645.5</v>
      </c>
      <c r="M18">
        <v>880</v>
      </c>
      <c r="N18">
        <v>9659</v>
      </c>
      <c r="O18">
        <v>5800</v>
      </c>
      <c r="P18">
        <v>5000</v>
      </c>
      <c r="Q18" s="52">
        <f t="shared" si="1"/>
        <v>1430.3700623700624</v>
      </c>
      <c r="R18" s="52">
        <f t="shared" si="2"/>
        <v>2777.6299376299376</v>
      </c>
      <c r="S18" s="52">
        <f t="shared" si="3"/>
        <v>2777.6299376299376</v>
      </c>
      <c r="T18">
        <v>-1262.2</v>
      </c>
      <c r="U18">
        <v>226.1</v>
      </c>
      <c r="V18" s="54">
        <v>1353.3</v>
      </c>
      <c r="W18" s="54">
        <v>754</v>
      </c>
      <c r="X18" t="s">
        <v>401</v>
      </c>
      <c r="Y18" t="s">
        <v>401</v>
      </c>
      <c r="Z18" t="s">
        <v>401</v>
      </c>
      <c r="AA18" t="s">
        <v>401</v>
      </c>
      <c r="AF18">
        <v>3145</v>
      </c>
      <c r="AG18">
        <f>VLOOKUP('Ballast Calculator'!$D$67,'Drop down Options'!$CS$289:$CV$293,4,FALSE)*Platforms!T18/Platforms!L18</f>
        <v>-295.8094878094878</v>
      </c>
      <c r="AH18">
        <f>VLOOKUP('Ballast Calculator'!$D$67,'Drop down Options'!$CS$289:$CV$293,4,FALSE)+(VLOOKUP('Ballast Calculator'!$D$67,'Drop down Options'!$CS$289:$CV$293,4,FALSE)*T18)/L18</f>
        <v>324.1905121905122</v>
      </c>
      <c r="AI18">
        <f>VLOOKUP('Ballast Calculator'!$D$67,'Drop down Options'!$CS$289:$CV$293,4,FALSE)*(Platforms!L18+Platforms!T18)/Platforms!L18</f>
        <v>324.1905121905122</v>
      </c>
      <c r="AJ18">
        <v>-1130.5</v>
      </c>
      <c r="AK18">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18">
        <f>IF(VLOOKUP('Ballast Calculator'!$D$50,'Drop down Options'!$AN$202:$AQ$210,4,FALSE)="",0,Platforms!AK18)</f>
        <v>2494.5318654318653</v>
      </c>
      <c r="AM18">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18">
        <f>IF(VLOOKUP('Ballast Calculator'!$D$50,'Drop down Options'!$AN$202:$AQ$210,4,FALSE)="",0,Platforms!AM18)</f>
        <v>-1106.2318654318653</v>
      </c>
      <c r="AO18">
        <f>VLOOKUP('Ballast Calculator'!$D$54,'Drop down Options'!$CN$277:$CR$280,5,FALSE)*Platforms!AJ18/Platforms!L18</f>
        <v>0</v>
      </c>
      <c r="AP18" s="167">
        <f>VLOOKUP('Ballast Calculator'!$D$54,'Drop down Options'!$CN$277:$CR$280,5,FALSE)+VLOOKUP('Ballast Calculator'!$D$54,'Drop down Options'!$CN$277:$CR$280,5,FALSE)*Platforms!AJ18/Platforms!L18</f>
        <v>0</v>
      </c>
      <c r="AQ18" s="167">
        <f>VLOOKUP('Ballast Calculator'!$D$54,'Drop down Options'!$CN$277:$CR$280,5,FALSE)*(Platforms!AJ18+Platforms!L18)/Platforms!L18</f>
        <v>0</v>
      </c>
      <c r="AR18">
        <f>VLOOKUP('Ballast Calculator'!$D$61,'Drop down Options'!$BW$215:$BZ$248,4,FALSE)*(Platforms!L18+Platforms!AF18)/Platforms!L18</f>
        <v>0</v>
      </c>
      <c r="AS18" s="167">
        <f>-AR18+VLOOKUP('Ballast Calculator'!$D$61,'Drop down Options'!$BW$215:$BZ$248,4,FALSE)</f>
        <v>0</v>
      </c>
      <c r="AT18" s="167">
        <f>-VLOOKUP('Ballast Calculator'!$D$61,'Drop down Options'!$BW$215:$BZ$248,4,FALSE)*Platforms!AF18/Platforms!L18</f>
        <v>0</v>
      </c>
      <c r="AU18">
        <v>0</v>
      </c>
      <c r="AV18">
        <f>VLOOKUP('Ballast Calculator'!$D$64,'Drop down Options'!$CF$253:$CI$272,4,FALSE)</f>
        <v>77</v>
      </c>
      <c r="AW18">
        <f>VLOOKUP('Ballast Calculator'!$D$67,'Drop down Options'!$CS$289:$CV$293,4,FALSE)*Platforms!AZ18/Platforms!L18</f>
        <v>-334.4086184086184</v>
      </c>
      <c r="AX18">
        <f>AW18+VLOOKUP('Ballast Calculator'!$D$67,'Drop down Options'!$CS$289:$CV$293,4,FALSE)</f>
        <v>285.5913815913816</v>
      </c>
      <c r="AY18">
        <f>VLOOKUP('Ballast Calculator'!$D$67,'Drop down Options'!$CS$289:$CV$293,4,FALSE)*(Platforms!AZ18+Platforms!L18)/Platforms!L18</f>
        <v>285.5913815913816</v>
      </c>
      <c r="AZ18">
        <f t="shared" si="4"/>
        <v>-1426.9</v>
      </c>
    </row>
    <row r="19" spans="1:52" ht="12.75">
      <c r="A19" s="52" t="str">
        <f t="shared" si="0"/>
        <v>6130 DOOSMFWDTSS</v>
      </c>
      <c r="B19">
        <v>17</v>
      </c>
      <c r="C19" t="s">
        <v>66</v>
      </c>
      <c r="D19" t="s">
        <v>63</v>
      </c>
      <c r="E19" t="s">
        <v>64</v>
      </c>
      <c r="F19" t="s">
        <v>61</v>
      </c>
      <c r="G19" s="53">
        <v>39870</v>
      </c>
      <c r="H19">
        <v>4140</v>
      </c>
      <c r="I19">
        <v>899.25</v>
      </c>
      <c r="J19">
        <v>121.15</v>
      </c>
      <c r="K19">
        <v>400</v>
      </c>
      <c r="L19">
        <v>2645.5</v>
      </c>
      <c r="M19">
        <v>880</v>
      </c>
      <c r="N19">
        <v>9659</v>
      </c>
      <c r="O19">
        <v>5800</v>
      </c>
      <c r="P19">
        <v>5000</v>
      </c>
      <c r="Q19" s="52">
        <f t="shared" si="1"/>
        <v>1407.2557172557172</v>
      </c>
      <c r="R19" s="52">
        <f t="shared" si="2"/>
        <v>2732.744282744283</v>
      </c>
      <c r="S19" s="52">
        <f t="shared" si="3"/>
        <v>2732.744282744283</v>
      </c>
      <c r="T19">
        <v>-1262.2</v>
      </c>
      <c r="U19">
        <v>226.1</v>
      </c>
      <c r="V19" s="54">
        <v>1353.3</v>
      </c>
      <c r="W19" s="54">
        <v>754</v>
      </c>
      <c r="X19" t="s">
        <v>401</v>
      </c>
      <c r="Y19" t="s">
        <v>401</v>
      </c>
      <c r="Z19" t="s">
        <v>401</v>
      </c>
      <c r="AA19" t="s">
        <v>401</v>
      </c>
      <c r="AF19">
        <v>3145</v>
      </c>
      <c r="AG19">
        <f>VLOOKUP('Ballast Calculator'!$D$67,'Drop down Options'!$CS$289:$CV$293,4,FALSE)*Platforms!T19/Platforms!L19</f>
        <v>-295.8094878094878</v>
      </c>
      <c r="AH19">
        <f>VLOOKUP('Ballast Calculator'!$D$67,'Drop down Options'!$CS$289:$CV$293,4,FALSE)+(VLOOKUP('Ballast Calculator'!$D$67,'Drop down Options'!$CS$289:$CV$293,4,FALSE)*T19)/L19</f>
        <v>324.1905121905122</v>
      </c>
      <c r="AI19">
        <f>VLOOKUP('Ballast Calculator'!$D$67,'Drop down Options'!$CS$289:$CV$293,4,FALSE)*(Platforms!L19+Platforms!T19)/Platforms!L19</f>
        <v>324.1905121905122</v>
      </c>
      <c r="AJ19">
        <v>-1130.5</v>
      </c>
      <c r="AK19">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19">
        <f>IF(VLOOKUP('Ballast Calculator'!$D$50,'Drop down Options'!$AN$202:$AQ$210,4,FALSE)="",0,Platforms!AK19)</f>
        <v>2494.5318654318653</v>
      </c>
      <c r="AM19">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19">
        <f>IF(VLOOKUP('Ballast Calculator'!$D$50,'Drop down Options'!$AN$202:$AQ$210,4,FALSE)="",0,Platforms!AM19)</f>
        <v>-1106.2318654318653</v>
      </c>
      <c r="AO19">
        <f>VLOOKUP('Ballast Calculator'!$D$54,'Drop down Options'!$CN$277:$CR$280,5,FALSE)*Platforms!AJ19/Platforms!L19</f>
        <v>0</v>
      </c>
      <c r="AP19" s="167">
        <f>VLOOKUP('Ballast Calculator'!$D$54,'Drop down Options'!$CN$277:$CR$280,5,FALSE)+VLOOKUP('Ballast Calculator'!$D$54,'Drop down Options'!$CN$277:$CR$280,5,FALSE)*Platforms!AJ19/Platforms!L19</f>
        <v>0</v>
      </c>
      <c r="AQ19" s="167">
        <f>VLOOKUP('Ballast Calculator'!$D$54,'Drop down Options'!$CN$277:$CR$280,5,FALSE)*(Platforms!AJ19+Platforms!L19)/Platforms!L19</f>
        <v>0</v>
      </c>
      <c r="AR19">
        <f>VLOOKUP('Ballast Calculator'!$D$61,'Drop down Options'!$BW$215:$BZ$248,4,FALSE)*(Platforms!L19+Platforms!AF19)/Platforms!L19</f>
        <v>0</v>
      </c>
      <c r="AS19" s="167">
        <f>-AR19+VLOOKUP('Ballast Calculator'!$D$61,'Drop down Options'!$BW$215:$BZ$248,4,FALSE)</f>
        <v>0</v>
      </c>
      <c r="AT19" s="167">
        <f>-VLOOKUP('Ballast Calculator'!$D$61,'Drop down Options'!$BW$215:$BZ$248,4,FALSE)*Platforms!AF19/Platforms!L19</f>
        <v>0</v>
      </c>
      <c r="AU19">
        <v>0</v>
      </c>
      <c r="AV19">
        <f>VLOOKUP('Ballast Calculator'!$D$64,'Drop down Options'!$CF$253:$CI$272,4,FALSE)</f>
        <v>77</v>
      </c>
      <c r="AW19">
        <f>VLOOKUP('Ballast Calculator'!$D$67,'Drop down Options'!$CS$289:$CV$293,4,FALSE)*Platforms!AZ19/Platforms!L19</f>
        <v>-334.4086184086184</v>
      </c>
      <c r="AX19">
        <f>AW19+VLOOKUP('Ballast Calculator'!$D$67,'Drop down Options'!$CS$289:$CV$293,4,FALSE)</f>
        <v>285.5913815913816</v>
      </c>
      <c r="AY19">
        <f>VLOOKUP('Ballast Calculator'!$D$67,'Drop down Options'!$CS$289:$CV$293,4,FALSE)*(Platforms!AZ19+Platforms!L19)/Platforms!L19</f>
        <v>285.5913815913816</v>
      </c>
      <c r="AZ19">
        <f t="shared" si="4"/>
        <v>-1426.9</v>
      </c>
    </row>
    <row r="20" spans="1:52" ht="12.75">
      <c r="A20" s="52" t="str">
        <f t="shared" si="0"/>
        <v>6130 DOOSMFWDTSS-PWR REV</v>
      </c>
      <c r="B20">
        <v>18</v>
      </c>
      <c r="C20" t="s">
        <v>66</v>
      </c>
      <c r="D20" t="s">
        <v>63</v>
      </c>
      <c r="E20" t="s">
        <v>64</v>
      </c>
      <c r="F20" t="s">
        <v>62</v>
      </c>
      <c r="G20" s="53">
        <v>39870</v>
      </c>
      <c r="H20">
        <v>4140</v>
      </c>
      <c r="I20">
        <v>899.25</v>
      </c>
      <c r="J20">
        <v>121.15</v>
      </c>
      <c r="K20">
        <v>400</v>
      </c>
      <c r="L20">
        <v>2645.5</v>
      </c>
      <c r="M20">
        <v>880</v>
      </c>
      <c r="N20">
        <v>9659</v>
      </c>
      <c r="O20">
        <v>5800</v>
      </c>
      <c r="P20">
        <v>5000</v>
      </c>
      <c r="Q20" s="52">
        <f t="shared" si="1"/>
        <v>1407.2557172557172</v>
      </c>
      <c r="R20" s="52">
        <f t="shared" si="2"/>
        <v>2732.744282744283</v>
      </c>
      <c r="S20" s="52">
        <f t="shared" si="3"/>
        <v>2732.744282744283</v>
      </c>
      <c r="T20">
        <v>-1262.2</v>
      </c>
      <c r="U20">
        <v>226.1</v>
      </c>
      <c r="V20" s="54">
        <v>1353.3</v>
      </c>
      <c r="W20" s="54">
        <v>754</v>
      </c>
      <c r="X20" t="s">
        <v>401</v>
      </c>
      <c r="Y20" t="s">
        <v>401</v>
      </c>
      <c r="Z20" t="s">
        <v>401</v>
      </c>
      <c r="AA20" t="s">
        <v>401</v>
      </c>
      <c r="AF20">
        <v>3145</v>
      </c>
      <c r="AG20">
        <f>VLOOKUP('Ballast Calculator'!$D$67,'Drop down Options'!$CS$289:$CV$293,4,FALSE)*Platforms!T20/Platforms!L20</f>
        <v>-295.8094878094878</v>
      </c>
      <c r="AH20">
        <f>VLOOKUP('Ballast Calculator'!$D$67,'Drop down Options'!$CS$289:$CV$293,4,FALSE)+(VLOOKUP('Ballast Calculator'!$D$67,'Drop down Options'!$CS$289:$CV$293,4,FALSE)*T20)/L20</f>
        <v>324.1905121905122</v>
      </c>
      <c r="AI20">
        <f>VLOOKUP('Ballast Calculator'!$D$67,'Drop down Options'!$CS$289:$CV$293,4,FALSE)*(Platforms!L20+Platforms!T20)/Platforms!L20</f>
        <v>324.1905121905122</v>
      </c>
      <c r="AJ20">
        <v>-1130.5</v>
      </c>
      <c r="AK20">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20">
        <f>IF(VLOOKUP('Ballast Calculator'!$D$50,'Drop down Options'!$AN$202:$AQ$210,4,FALSE)="",0,Platforms!AK20)</f>
        <v>2494.5318654318653</v>
      </c>
      <c r="AM20">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20">
        <f>IF(VLOOKUP('Ballast Calculator'!$D$50,'Drop down Options'!$AN$202:$AQ$210,4,FALSE)="",0,Platforms!AM20)</f>
        <v>-1106.2318654318653</v>
      </c>
      <c r="AO20">
        <f>VLOOKUP('Ballast Calculator'!$D$54,'Drop down Options'!$CN$277:$CR$280,5,FALSE)*Platforms!AJ20/Platforms!L20</f>
        <v>0</v>
      </c>
      <c r="AP20" s="167">
        <f>VLOOKUP('Ballast Calculator'!$D$54,'Drop down Options'!$CN$277:$CR$280,5,FALSE)+VLOOKUP('Ballast Calculator'!$D$54,'Drop down Options'!$CN$277:$CR$280,5,FALSE)*Platforms!AJ20/Platforms!L20</f>
        <v>0</v>
      </c>
      <c r="AQ20" s="167">
        <f>VLOOKUP('Ballast Calculator'!$D$54,'Drop down Options'!$CN$277:$CR$280,5,FALSE)*(Platforms!AJ20+Platforms!L20)/Platforms!L20</f>
        <v>0</v>
      </c>
      <c r="AR20">
        <f>VLOOKUP('Ballast Calculator'!$D$61,'Drop down Options'!$BW$215:$BZ$248,4,FALSE)*(Platforms!L20+Platforms!AF20)/Platforms!L20</f>
        <v>0</v>
      </c>
      <c r="AS20" s="167">
        <f>-AR20+VLOOKUP('Ballast Calculator'!$D$61,'Drop down Options'!$BW$215:$BZ$248,4,FALSE)</f>
        <v>0</v>
      </c>
      <c r="AT20" s="167">
        <f>-VLOOKUP('Ballast Calculator'!$D$61,'Drop down Options'!$BW$215:$BZ$248,4,FALSE)*Platforms!AF20/Platforms!L20</f>
        <v>0</v>
      </c>
      <c r="AU20">
        <v>0</v>
      </c>
      <c r="AV20">
        <f>VLOOKUP('Ballast Calculator'!$D$64,'Drop down Options'!$CF$253:$CI$272,4,FALSE)</f>
        <v>77</v>
      </c>
      <c r="AW20">
        <f>VLOOKUP('Ballast Calculator'!$D$67,'Drop down Options'!$CS$289:$CV$293,4,FALSE)*Platforms!AZ20/Platforms!L20</f>
        <v>-334.4086184086184</v>
      </c>
      <c r="AX20">
        <f>AW20+VLOOKUP('Ballast Calculator'!$D$67,'Drop down Options'!$CS$289:$CV$293,4,FALSE)</f>
        <v>285.5913815913816</v>
      </c>
      <c r="AY20">
        <f>VLOOKUP('Ballast Calculator'!$D$67,'Drop down Options'!$CS$289:$CV$293,4,FALSE)*(Platforms!AZ20+Platforms!L20)/Platforms!L20</f>
        <v>285.5913815913816</v>
      </c>
      <c r="AZ20">
        <f t="shared" si="4"/>
        <v>-1426.9</v>
      </c>
    </row>
    <row r="21" spans="1:52" ht="12.75">
      <c r="A21" s="52" t="str">
        <f t="shared" si="0"/>
        <v>6140 DCABMFWDTSS</v>
      </c>
      <c r="B21">
        <v>19</v>
      </c>
      <c r="C21" t="s">
        <v>67</v>
      </c>
      <c r="D21" t="s">
        <v>60</v>
      </c>
      <c r="E21" t="s">
        <v>64</v>
      </c>
      <c r="F21" t="s">
        <v>61</v>
      </c>
      <c r="G21" s="53">
        <v>39870</v>
      </c>
      <c r="H21">
        <v>4208</v>
      </c>
      <c r="I21">
        <v>899.25</v>
      </c>
      <c r="J21">
        <v>121.15</v>
      </c>
      <c r="K21">
        <v>400</v>
      </c>
      <c r="L21">
        <v>2645.5</v>
      </c>
      <c r="M21">
        <v>880</v>
      </c>
      <c r="N21">
        <v>9659</v>
      </c>
      <c r="O21">
        <v>5800</v>
      </c>
      <c r="P21">
        <v>5000</v>
      </c>
      <c r="Q21" s="52">
        <f t="shared" si="1"/>
        <v>1430.3700623700624</v>
      </c>
      <c r="R21" s="52">
        <f t="shared" si="2"/>
        <v>2777.6299376299376</v>
      </c>
      <c r="S21" s="52">
        <f t="shared" si="3"/>
        <v>2777.6299376299376</v>
      </c>
      <c r="T21">
        <v>-1262.2</v>
      </c>
      <c r="U21">
        <v>226.1</v>
      </c>
      <c r="V21" s="54">
        <v>1353.3</v>
      </c>
      <c r="W21" s="54">
        <v>754</v>
      </c>
      <c r="X21" t="s">
        <v>401</v>
      </c>
      <c r="Y21" t="s">
        <v>401</v>
      </c>
      <c r="Z21" t="s">
        <v>401</v>
      </c>
      <c r="AA21" t="s">
        <v>401</v>
      </c>
      <c r="AF21">
        <v>3145</v>
      </c>
      <c r="AG21">
        <f>VLOOKUP('Ballast Calculator'!$D$67,'Drop down Options'!$CS$289:$CV$293,4,FALSE)*Platforms!T21/Platforms!L21</f>
        <v>-295.8094878094878</v>
      </c>
      <c r="AH21">
        <f>VLOOKUP('Ballast Calculator'!$D$67,'Drop down Options'!$CS$289:$CV$293,4,FALSE)+(VLOOKUP('Ballast Calculator'!$D$67,'Drop down Options'!$CS$289:$CV$293,4,FALSE)*T21)/L21</f>
        <v>324.1905121905122</v>
      </c>
      <c r="AI21">
        <f>VLOOKUP('Ballast Calculator'!$D$67,'Drop down Options'!$CS$289:$CV$293,4,FALSE)*(Platforms!L21+Platforms!T21)/Platforms!L21</f>
        <v>324.1905121905122</v>
      </c>
      <c r="AJ21">
        <v>-1130.5</v>
      </c>
      <c r="AK21">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21">
        <f>IF(VLOOKUP('Ballast Calculator'!$D$50,'Drop down Options'!$AN$202:$AQ$210,4,FALSE)="",0,Platforms!AK21)</f>
        <v>2494.5318654318653</v>
      </c>
      <c r="AM21">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21">
        <f>IF(VLOOKUP('Ballast Calculator'!$D$50,'Drop down Options'!$AN$202:$AQ$210,4,FALSE)="",0,Platforms!AM21)</f>
        <v>-1106.2318654318653</v>
      </c>
      <c r="AO21">
        <f>VLOOKUP('Ballast Calculator'!$D$54,'Drop down Options'!$CN$277:$CR$280,5,FALSE)*Platforms!AJ21/Platforms!L21</f>
        <v>0</v>
      </c>
      <c r="AP21" s="167">
        <f>VLOOKUP('Ballast Calculator'!$D$54,'Drop down Options'!$CN$277:$CR$280,5,FALSE)+VLOOKUP('Ballast Calculator'!$D$54,'Drop down Options'!$CN$277:$CR$280,5,FALSE)*Platforms!AJ21/Platforms!L21</f>
        <v>0</v>
      </c>
      <c r="AQ21" s="167">
        <f>VLOOKUP('Ballast Calculator'!$D$54,'Drop down Options'!$CN$277:$CR$280,5,FALSE)*(Platforms!AJ21+Platforms!L21)/Platforms!L21</f>
        <v>0</v>
      </c>
      <c r="AR21">
        <f>VLOOKUP('Ballast Calculator'!$D$61,'Drop down Options'!$BW$215:$BZ$248,4,FALSE)*(Platforms!L21+Platforms!AF21)/Platforms!L21</f>
        <v>0</v>
      </c>
      <c r="AS21" s="167">
        <f>-AR21+VLOOKUP('Ballast Calculator'!$D$61,'Drop down Options'!$BW$215:$BZ$248,4,FALSE)</f>
        <v>0</v>
      </c>
      <c r="AT21" s="167">
        <f>-VLOOKUP('Ballast Calculator'!$D$61,'Drop down Options'!$BW$215:$BZ$248,4,FALSE)*Platforms!AF21/Platforms!L21</f>
        <v>0</v>
      </c>
      <c r="AU21">
        <v>0</v>
      </c>
      <c r="AV21">
        <f>VLOOKUP('Ballast Calculator'!$D$64,'Drop down Options'!$CF$253:$CI$272,4,FALSE)</f>
        <v>77</v>
      </c>
      <c r="AW21">
        <f>VLOOKUP('Ballast Calculator'!$D$67,'Drop down Options'!$CS$289:$CV$293,4,FALSE)*Platforms!AZ21/Platforms!L21</f>
        <v>-334.4086184086184</v>
      </c>
      <c r="AX21">
        <f>AW21+VLOOKUP('Ballast Calculator'!$D$67,'Drop down Options'!$CS$289:$CV$293,4,FALSE)</f>
        <v>285.5913815913816</v>
      </c>
      <c r="AY21">
        <f>VLOOKUP('Ballast Calculator'!$D$67,'Drop down Options'!$CS$289:$CV$293,4,FALSE)*(Platforms!AZ21+Platforms!L21)/Platforms!L21</f>
        <v>285.5913815913816</v>
      </c>
      <c r="AZ21">
        <f t="shared" si="4"/>
        <v>-1426.9</v>
      </c>
    </row>
    <row r="22" spans="1:52" ht="12.75">
      <c r="A22" s="52" t="str">
        <f t="shared" si="0"/>
        <v>6140 DCABMFWDTSS-PWR REV</v>
      </c>
      <c r="B22">
        <v>20</v>
      </c>
      <c r="C22" t="s">
        <v>67</v>
      </c>
      <c r="D22" t="s">
        <v>60</v>
      </c>
      <c r="E22" t="s">
        <v>64</v>
      </c>
      <c r="F22" t="s">
        <v>62</v>
      </c>
      <c r="G22" s="53">
        <v>39870</v>
      </c>
      <c r="H22">
        <v>4208</v>
      </c>
      <c r="I22">
        <v>899.25</v>
      </c>
      <c r="J22">
        <v>121.15</v>
      </c>
      <c r="K22">
        <v>400</v>
      </c>
      <c r="L22">
        <v>2645.5</v>
      </c>
      <c r="M22">
        <v>880</v>
      </c>
      <c r="N22">
        <v>9659</v>
      </c>
      <c r="O22">
        <v>5800</v>
      </c>
      <c r="P22">
        <v>5000</v>
      </c>
      <c r="Q22" s="52">
        <f t="shared" si="1"/>
        <v>1430.3700623700624</v>
      </c>
      <c r="R22" s="52">
        <f t="shared" si="2"/>
        <v>2777.6299376299376</v>
      </c>
      <c r="S22" s="52">
        <f t="shared" si="3"/>
        <v>2777.6299376299376</v>
      </c>
      <c r="T22">
        <v>-1262.2</v>
      </c>
      <c r="U22">
        <v>226.1</v>
      </c>
      <c r="V22" s="54">
        <v>1353.3</v>
      </c>
      <c r="W22" s="54">
        <v>754</v>
      </c>
      <c r="X22" t="s">
        <v>401</v>
      </c>
      <c r="Y22" t="s">
        <v>401</v>
      </c>
      <c r="Z22" t="s">
        <v>401</v>
      </c>
      <c r="AA22" t="s">
        <v>401</v>
      </c>
      <c r="AF22">
        <v>3145</v>
      </c>
      <c r="AG22">
        <f>VLOOKUP('Ballast Calculator'!$D$67,'Drop down Options'!$CS$289:$CV$293,4,FALSE)*Platforms!T22/Platforms!L22</f>
        <v>-295.8094878094878</v>
      </c>
      <c r="AH22">
        <f>VLOOKUP('Ballast Calculator'!$D$67,'Drop down Options'!$CS$289:$CV$293,4,FALSE)+(VLOOKUP('Ballast Calculator'!$D$67,'Drop down Options'!$CS$289:$CV$293,4,FALSE)*T22)/L22</f>
        <v>324.1905121905122</v>
      </c>
      <c r="AI22">
        <f>VLOOKUP('Ballast Calculator'!$D$67,'Drop down Options'!$CS$289:$CV$293,4,FALSE)*(Platforms!L22+Platforms!T22)/Platforms!L22</f>
        <v>324.1905121905122</v>
      </c>
      <c r="AJ22">
        <v>-1130.5</v>
      </c>
      <c r="AK22">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22">
        <f>IF(VLOOKUP('Ballast Calculator'!$D$50,'Drop down Options'!$AN$202:$AQ$210,4,FALSE)="",0,Platforms!AK22)</f>
        <v>2494.5318654318653</v>
      </c>
      <c r="AM22">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22">
        <f>IF(VLOOKUP('Ballast Calculator'!$D$50,'Drop down Options'!$AN$202:$AQ$210,4,FALSE)="",0,Platforms!AM22)</f>
        <v>-1106.2318654318653</v>
      </c>
      <c r="AO22">
        <f>VLOOKUP('Ballast Calculator'!$D$54,'Drop down Options'!$CN$277:$CR$280,5,FALSE)*Platforms!AJ22/Platforms!L22</f>
        <v>0</v>
      </c>
      <c r="AP22" s="167">
        <f>VLOOKUP('Ballast Calculator'!$D$54,'Drop down Options'!$CN$277:$CR$280,5,FALSE)+VLOOKUP('Ballast Calculator'!$D$54,'Drop down Options'!$CN$277:$CR$280,5,FALSE)*Platforms!AJ22/Platforms!L22</f>
        <v>0</v>
      </c>
      <c r="AQ22" s="167">
        <f>VLOOKUP('Ballast Calculator'!$D$54,'Drop down Options'!$CN$277:$CR$280,5,FALSE)*(Platforms!AJ22+Platforms!L22)/Platforms!L22</f>
        <v>0</v>
      </c>
      <c r="AR22">
        <f>VLOOKUP('Ballast Calculator'!$D$61,'Drop down Options'!$BW$215:$BZ$248,4,FALSE)*(Platforms!L22+Platforms!AF22)/Platforms!L22</f>
        <v>0</v>
      </c>
      <c r="AS22" s="167">
        <f>-AR22+VLOOKUP('Ballast Calculator'!$D$61,'Drop down Options'!$BW$215:$BZ$248,4,FALSE)</f>
        <v>0</v>
      </c>
      <c r="AT22" s="167">
        <f>-VLOOKUP('Ballast Calculator'!$D$61,'Drop down Options'!$BW$215:$BZ$248,4,FALSE)*Platforms!AF22/Platforms!L22</f>
        <v>0</v>
      </c>
      <c r="AU22">
        <v>0</v>
      </c>
      <c r="AV22">
        <f>VLOOKUP('Ballast Calculator'!$D$64,'Drop down Options'!$CF$253:$CI$272,4,FALSE)</f>
        <v>77</v>
      </c>
      <c r="AW22">
        <f>VLOOKUP('Ballast Calculator'!$D$67,'Drop down Options'!$CS$289:$CV$293,4,FALSE)*Platforms!AZ22/Platforms!L22</f>
        <v>-334.4086184086184</v>
      </c>
      <c r="AX22">
        <f>AW22+VLOOKUP('Ballast Calculator'!$D$67,'Drop down Options'!$CS$289:$CV$293,4,FALSE)</f>
        <v>285.5913815913816</v>
      </c>
      <c r="AY22">
        <f>VLOOKUP('Ballast Calculator'!$D$67,'Drop down Options'!$CS$289:$CV$293,4,FALSE)*(Platforms!AZ22+Platforms!L22)/Platforms!L22</f>
        <v>285.5913815913816</v>
      </c>
      <c r="AZ22">
        <f t="shared" si="4"/>
        <v>-1426.9</v>
      </c>
    </row>
    <row r="23" spans="1:52" ht="12.75">
      <c r="A23" s="52" t="str">
        <f t="shared" si="0"/>
        <v>6140 DOOSMFWDTSS</v>
      </c>
      <c r="B23">
        <v>21</v>
      </c>
      <c r="C23" t="s">
        <v>67</v>
      </c>
      <c r="D23" t="s">
        <v>63</v>
      </c>
      <c r="E23" t="s">
        <v>64</v>
      </c>
      <c r="F23" t="s">
        <v>61</v>
      </c>
      <c r="G23" s="53">
        <v>39870</v>
      </c>
      <c r="H23">
        <v>4140</v>
      </c>
      <c r="I23">
        <v>899.25</v>
      </c>
      <c r="J23">
        <v>121.15</v>
      </c>
      <c r="K23">
        <v>400</v>
      </c>
      <c r="L23">
        <v>2645.5</v>
      </c>
      <c r="M23">
        <v>880</v>
      </c>
      <c r="N23">
        <v>9659</v>
      </c>
      <c r="O23">
        <v>5800</v>
      </c>
      <c r="P23">
        <v>5000</v>
      </c>
      <c r="Q23" s="52">
        <f t="shared" si="1"/>
        <v>1407.2557172557172</v>
      </c>
      <c r="R23" s="52">
        <f t="shared" si="2"/>
        <v>2732.744282744283</v>
      </c>
      <c r="S23" s="52">
        <f t="shared" si="3"/>
        <v>2732.744282744283</v>
      </c>
      <c r="T23">
        <v>-1262.2</v>
      </c>
      <c r="U23">
        <v>226.1</v>
      </c>
      <c r="V23" s="54">
        <v>1353.3</v>
      </c>
      <c r="W23" s="54">
        <v>754</v>
      </c>
      <c r="X23" t="s">
        <v>401</v>
      </c>
      <c r="Y23" t="s">
        <v>401</v>
      </c>
      <c r="Z23" t="s">
        <v>401</v>
      </c>
      <c r="AA23" t="s">
        <v>401</v>
      </c>
      <c r="AF23">
        <v>3145</v>
      </c>
      <c r="AG23">
        <f>VLOOKUP('Ballast Calculator'!$D$67,'Drop down Options'!$CS$289:$CV$293,4,FALSE)*Platforms!T23/Platforms!L23</f>
        <v>-295.8094878094878</v>
      </c>
      <c r="AH23">
        <f>VLOOKUP('Ballast Calculator'!$D$67,'Drop down Options'!$CS$289:$CV$293,4,FALSE)+(VLOOKUP('Ballast Calculator'!$D$67,'Drop down Options'!$CS$289:$CV$293,4,FALSE)*T23)/L23</f>
        <v>324.1905121905122</v>
      </c>
      <c r="AI23">
        <f>VLOOKUP('Ballast Calculator'!$D$67,'Drop down Options'!$CS$289:$CV$293,4,FALSE)*(Platforms!L23+Platforms!T23)/Platforms!L23</f>
        <v>324.1905121905122</v>
      </c>
      <c r="AJ23">
        <v>-1130.5</v>
      </c>
      <c r="AK23">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23">
        <f>IF(VLOOKUP('Ballast Calculator'!$D$50,'Drop down Options'!$AN$202:$AQ$210,4,FALSE)="",0,Platforms!AK23)</f>
        <v>2494.5318654318653</v>
      </c>
      <c r="AM23">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23">
        <f>IF(VLOOKUP('Ballast Calculator'!$D$50,'Drop down Options'!$AN$202:$AQ$210,4,FALSE)="",0,Platforms!AM23)</f>
        <v>-1106.2318654318653</v>
      </c>
      <c r="AO23">
        <f>VLOOKUP('Ballast Calculator'!$D$54,'Drop down Options'!$CN$277:$CR$280,5,FALSE)*Platforms!AJ23/Platforms!L23</f>
        <v>0</v>
      </c>
      <c r="AP23" s="167">
        <f>VLOOKUP('Ballast Calculator'!$D$54,'Drop down Options'!$CN$277:$CR$280,5,FALSE)+VLOOKUP('Ballast Calculator'!$D$54,'Drop down Options'!$CN$277:$CR$280,5,FALSE)*Platforms!AJ23/Platforms!L23</f>
        <v>0</v>
      </c>
      <c r="AQ23" s="167">
        <f>VLOOKUP('Ballast Calculator'!$D$54,'Drop down Options'!$CN$277:$CR$280,5,FALSE)*(Platforms!AJ23+Platforms!L23)/Platforms!L23</f>
        <v>0</v>
      </c>
      <c r="AR23">
        <f>VLOOKUP('Ballast Calculator'!$D$61,'Drop down Options'!$BW$215:$BZ$248,4,FALSE)*(Platforms!L23+Platforms!AF23)/Platforms!L23</f>
        <v>0</v>
      </c>
      <c r="AS23" s="167">
        <f>-AR23+VLOOKUP('Ballast Calculator'!$D$61,'Drop down Options'!$BW$215:$BZ$248,4,FALSE)</f>
        <v>0</v>
      </c>
      <c r="AT23" s="167">
        <f>-VLOOKUP('Ballast Calculator'!$D$61,'Drop down Options'!$BW$215:$BZ$248,4,FALSE)*Platforms!AF23/Platforms!L23</f>
        <v>0</v>
      </c>
      <c r="AU23">
        <v>0</v>
      </c>
      <c r="AV23">
        <f>VLOOKUP('Ballast Calculator'!$D$64,'Drop down Options'!$CF$253:$CI$272,4,FALSE)</f>
        <v>77</v>
      </c>
      <c r="AW23">
        <f>VLOOKUP('Ballast Calculator'!$D$67,'Drop down Options'!$CS$289:$CV$293,4,FALSE)*Platforms!AZ23/Platforms!L23</f>
        <v>-334.4086184086184</v>
      </c>
      <c r="AX23">
        <f>AW23+VLOOKUP('Ballast Calculator'!$D$67,'Drop down Options'!$CS$289:$CV$293,4,FALSE)</f>
        <v>285.5913815913816</v>
      </c>
      <c r="AY23">
        <f>VLOOKUP('Ballast Calculator'!$D$67,'Drop down Options'!$CS$289:$CV$293,4,FALSE)*(Platforms!AZ23+Platforms!L23)/Platforms!L23</f>
        <v>285.5913815913816</v>
      </c>
      <c r="AZ23">
        <f t="shared" si="4"/>
        <v>-1426.9</v>
      </c>
    </row>
    <row r="24" spans="1:52" ht="12.75">
      <c r="A24" s="52" t="str">
        <f t="shared" si="0"/>
        <v>6140 DOOSMFWDTSS-PWR REV</v>
      </c>
      <c r="B24">
        <v>22</v>
      </c>
      <c r="C24" t="s">
        <v>67</v>
      </c>
      <c r="D24" t="s">
        <v>63</v>
      </c>
      <c r="E24" t="s">
        <v>64</v>
      </c>
      <c r="F24" t="s">
        <v>62</v>
      </c>
      <c r="G24" s="53">
        <v>39870</v>
      </c>
      <c r="H24">
        <v>4140</v>
      </c>
      <c r="I24">
        <v>899.25</v>
      </c>
      <c r="J24">
        <v>121.15</v>
      </c>
      <c r="K24">
        <v>400</v>
      </c>
      <c r="L24">
        <v>2645.5</v>
      </c>
      <c r="M24">
        <v>880</v>
      </c>
      <c r="N24">
        <v>9659</v>
      </c>
      <c r="O24">
        <v>5800</v>
      </c>
      <c r="P24">
        <v>5000</v>
      </c>
      <c r="Q24" s="52">
        <f t="shared" si="1"/>
        <v>1407.2557172557172</v>
      </c>
      <c r="R24" s="52">
        <f t="shared" si="2"/>
        <v>2732.744282744283</v>
      </c>
      <c r="S24" s="52">
        <f t="shared" si="3"/>
        <v>2732.744282744283</v>
      </c>
      <c r="T24">
        <v>-1262.2</v>
      </c>
      <c r="U24">
        <v>226.1</v>
      </c>
      <c r="V24" s="54">
        <v>1353.3</v>
      </c>
      <c r="W24" s="54">
        <v>754</v>
      </c>
      <c r="X24" t="s">
        <v>401</v>
      </c>
      <c r="Y24" t="s">
        <v>401</v>
      </c>
      <c r="Z24" t="s">
        <v>401</v>
      </c>
      <c r="AA24" t="s">
        <v>401</v>
      </c>
      <c r="AF24">
        <v>3145</v>
      </c>
      <c r="AG24">
        <f>VLOOKUP('Ballast Calculator'!$D$67,'Drop down Options'!$CS$289:$CV$293,4,FALSE)*Platforms!T24/Platforms!L24</f>
        <v>-295.8094878094878</v>
      </c>
      <c r="AH24">
        <f>VLOOKUP('Ballast Calculator'!$D$67,'Drop down Options'!$CS$289:$CV$293,4,FALSE)+(VLOOKUP('Ballast Calculator'!$D$67,'Drop down Options'!$CS$289:$CV$293,4,FALSE)*T24)/L24</f>
        <v>324.1905121905122</v>
      </c>
      <c r="AI24">
        <f>VLOOKUP('Ballast Calculator'!$D$67,'Drop down Options'!$CS$289:$CV$293,4,FALSE)*(Platforms!L24+Platforms!T24)/Platforms!L24</f>
        <v>324.1905121905122</v>
      </c>
      <c r="AJ24">
        <v>-1130.5</v>
      </c>
      <c r="AK24">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24">
        <f>IF(VLOOKUP('Ballast Calculator'!$D$50,'Drop down Options'!$AN$202:$AQ$210,4,FALSE)="",0,Platforms!AK24)</f>
        <v>2494.5318654318653</v>
      </c>
      <c r="AM24">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24">
        <f>IF(VLOOKUP('Ballast Calculator'!$D$50,'Drop down Options'!$AN$202:$AQ$210,4,FALSE)="",0,Platforms!AM24)</f>
        <v>-1106.2318654318653</v>
      </c>
      <c r="AO24">
        <f>VLOOKUP('Ballast Calculator'!$D$54,'Drop down Options'!$CN$277:$CR$280,5,FALSE)*Platforms!AJ24/Platforms!L24</f>
        <v>0</v>
      </c>
      <c r="AP24" s="167">
        <f>VLOOKUP('Ballast Calculator'!$D$54,'Drop down Options'!$CN$277:$CR$280,5,FALSE)+VLOOKUP('Ballast Calculator'!$D$54,'Drop down Options'!$CN$277:$CR$280,5,FALSE)*Platforms!AJ24/Platforms!L24</f>
        <v>0</v>
      </c>
      <c r="AQ24" s="167">
        <f>VLOOKUP('Ballast Calculator'!$D$54,'Drop down Options'!$CN$277:$CR$280,5,FALSE)*(Platforms!AJ24+Platforms!L24)/Platforms!L24</f>
        <v>0</v>
      </c>
      <c r="AR24">
        <f>VLOOKUP('Ballast Calculator'!$D$61,'Drop down Options'!$BW$215:$BZ$248,4,FALSE)*(Platforms!L24+Platforms!AF24)/Platforms!L24</f>
        <v>0</v>
      </c>
      <c r="AS24" s="167">
        <f>-AR24+VLOOKUP('Ballast Calculator'!$D$61,'Drop down Options'!$BW$215:$BZ$248,4,FALSE)</f>
        <v>0</v>
      </c>
      <c r="AT24" s="167">
        <f>-VLOOKUP('Ballast Calculator'!$D$61,'Drop down Options'!$BW$215:$BZ$248,4,FALSE)*Platforms!AF24/Platforms!L24</f>
        <v>0</v>
      </c>
      <c r="AU24">
        <v>0</v>
      </c>
      <c r="AV24">
        <f>VLOOKUP('Ballast Calculator'!$D$64,'Drop down Options'!$CF$253:$CI$272,4,FALSE)</f>
        <v>77</v>
      </c>
      <c r="AW24">
        <f>VLOOKUP('Ballast Calculator'!$D$67,'Drop down Options'!$CS$289:$CV$293,4,FALSE)*Platforms!AZ24/Platforms!L24</f>
        <v>-334.4086184086184</v>
      </c>
      <c r="AX24">
        <f>AW24+VLOOKUP('Ballast Calculator'!$D$67,'Drop down Options'!$CS$289:$CV$293,4,FALSE)</f>
        <v>285.5913815913816</v>
      </c>
      <c r="AY24">
        <f>VLOOKUP('Ballast Calculator'!$D$67,'Drop down Options'!$CS$289:$CV$293,4,FALSE)*(Platforms!AZ24+Platforms!L24)/Platforms!L24</f>
        <v>285.5913815913816</v>
      </c>
      <c r="AZ24">
        <f t="shared" si="4"/>
        <v>-1426.9</v>
      </c>
    </row>
    <row r="25" spans="1:52" ht="12.75">
      <c r="A25" s="52" t="str">
        <f t="shared" si="0"/>
        <v>6230CAB2WDS+</v>
      </c>
      <c r="B25">
        <v>23</v>
      </c>
      <c r="C25">
        <v>6230</v>
      </c>
      <c r="D25" t="s">
        <v>60</v>
      </c>
      <c r="E25" t="s">
        <v>6</v>
      </c>
      <c r="F25" t="s">
        <v>68</v>
      </c>
      <c r="G25" s="53">
        <v>39870</v>
      </c>
      <c r="H25">
        <v>4400</v>
      </c>
      <c r="I25">
        <v>862.38532</v>
      </c>
      <c r="J25">
        <v>744</v>
      </c>
      <c r="K25">
        <v>272.9</v>
      </c>
      <c r="L25">
        <v>2710</v>
      </c>
      <c r="M25">
        <v>880</v>
      </c>
      <c r="N25">
        <v>7600</v>
      </c>
      <c r="O25">
        <v>5000</v>
      </c>
      <c r="P25">
        <v>5600</v>
      </c>
      <c r="Q25" s="52">
        <f t="shared" si="1"/>
        <v>1400.1828073800737</v>
      </c>
      <c r="R25" s="52">
        <f t="shared" si="2"/>
        <v>2999.8171926199266</v>
      </c>
      <c r="S25" s="52">
        <f t="shared" si="3"/>
        <v>2999.817192619926</v>
      </c>
      <c r="T25">
        <v>-1239.4</v>
      </c>
      <c r="U25">
        <v>352.6</v>
      </c>
      <c r="V25" s="54">
        <v>1535</v>
      </c>
      <c r="W25" s="54">
        <v>983</v>
      </c>
      <c r="X25" t="s">
        <v>401</v>
      </c>
      <c r="Y25" t="s">
        <v>401</v>
      </c>
      <c r="Z25" t="s">
        <v>401</v>
      </c>
      <c r="AF25">
        <v>3303</v>
      </c>
      <c r="AG25">
        <f>VLOOKUP('Ballast Calculator'!$D$67,'Drop down Options'!$CS$289:$CV$293,4,FALSE)*Platforms!T25/Platforms!L25</f>
        <v>-283.55276752767526</v>
      </c>
      <c r="AH25">
        <f>VLOOKUP('Ballast Calculator'!$D$67,'Drop down Options'!$CS$289:$CV$293,4,FALSE)+(VLOOKUP('Ballast Calculator'!$D$67,'Drop down Options'!$CS$289:$CV$293,4,FALSE)*T25)/L25</f>
        <v>336.44723247232474</v>
      </c>
      <c r="AI25">
        <f>VLOOKUP('Ballast Calculator'!$D$67,'Drop down Options'!$CS$289:$CV$293,4,FALSE)*(Platforms!L25+Platforms!T25)/Platforms!L25</f>
        <v>336.44723247232474</v>
      </c>
      <c r="AJ25">
        <v>-942.7</v>
      </c>
      <c r="AK25">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25">
        <f>IF(VLOOKUP('Ballast Calculator'!$D$50,'Drop down Options'!$AN$202:$AQ$210,4,FALSE)="",0,Platforms!AK25)</f>
        <v>2494.5318654318653</v>
      </c>
      <c r="AM25">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25">
        <f>IF(VLOOKUP('Ballast Calculator'!$D$50,'Drop down Options'!$AN$202:$AQ$210,4,FALSE)="",0,Platforms!AM25)</f>
        <v>-1106.2318654318653</v>
      </c>
      <c r="AO25">
        <f>VLOOKUP('Ballast Calculator'!$D$54,'Drop down Options'!$CN$277:$CR$280,5,FALSE)*Platforms!AJ25/Platforms!L25</f>
        <v>0</v>
      </c>
      <c r="AP25" s="167">
        <f>VLOOKUP('Ballast Calculator'!$D$54,'Drop down Options'!$CN$277:$CR$280,5,FALSE)+VLOOKUP('Ballast Calculator'!$D$54,'Drop down Options'!$CN$277:$CR$280,5,FALSE)*Platforms!AJ25/Platforms!L25</f>
        <v>0</v>
      </c>
      <c r="AQ25" s="167">
        <f>VLOOKUP('Ballast Calculator'!$D$54,'Drop down Options'!$CN$277:$CR$280,5,FALSE)*(Platforms!AJ25+Platforms!L25)/Platforms!L25</f>
        <v>0</v>
      </c>
      <c r="AR25">
        <f>VLOOKUP('Ballast Calculator'!$D$61,'Drop down Options'!$BW$215:$BZ$248,4,FALSE)*(Platforms!L25+Platforms!AF25)/Platforms!L25</f>
        <v>0</v>
      </c>
      <c r="AS25" s="167">
        <f>-AR25+VLOOKUP('Ballast Calculator'!$D$61,'Drop down Options'!$BW$215:$BZ$248,4,FALSE)</f>
        <v>0</v>
      </c>
      <c r="AT25" s="167">
        <f>-VLOOKUP('Ballast Calculator'!$D$61,'Drop down Options'!$BW$215:$BZ$248,4,FALSE)*Platforms!AF25/Platforms!L25</f>
        <v>0</v>
      </c>
      <c r="AU25">
        <v>0</v>
      </c>
      <c r="AV25">
        <f>VLOOKUP('Ballast Calculator'!$D$64,'Drop down Options'!$CF$253:$CI$272,4,FALSE)</f>
        <v>77</v>
      </c>
      <c r="AW25">
        <f>VLOOKUP('Ballast Calculator'!$D$67,'Drop down Options'!$CS$289:$CV$293,4,FALSE)*Platforms!AZ25/Platforms!L25</f>
        <v>-283.4841328413284</v>
      </c>
      <c r="AX25">
        <f>AW25+VLOOKUP('Ballast Calculator'!$D$67,'Drop down Options'!$CS$289:$CV$293,4,FALSE)</f>
        <v>336.5158671586716</v>
      </c>
      <c r="AY25">
        <f>VLOOKUP('Ballast Calculator'!$D$67,'Drop down Options'!$CS$289:$CV$293,4,FALSE)*(Platforms!AZ25+Platforms!L25)/Platforms!L25</f>
        <v>336.5158671586716</v>
      </c>
      <c r="AZ25">
        <f t="shared" si="4"/>
        <v>-1239.1</v>
      </c>
    </row>
    <row r="26" spans="1:52" ht="12.75">
      <c r="A26" s="52" t="str">
        <f t="shared" si="0"/>
        <v>6230CAB2WDPQ+</v>
      </c>
      <c r="B26">
        <v>24</v>
      </c>
      <c r="C26">
        <v>6230</v>
      </c>
      <c r="D26" t="s">
        <v>60</v>
      </c>
      <c r="E26" t="s">
        <v>6</v>
      </c>
      <c r="F26" t="s">
        <v>69</v>
      </c>
      <c r="G26" s="53">
        <v>39870</v>
      </c>
      <c r="H26">
        <v>4400</v>
      </c>
      <c r="I26">
        <v>862.38532</v>
      </c>
      <c r="J26">
        <v>744</v>
      </c>
      <c r="K26">
        <v>272.9</v>
      </c>
      <c r="L26">
        <v>2710</v>
      </c>
      <c r="M26">
        <v>880</v>
      </c>
      <c r="N26">
        <v>7600</v>
      </c>
      <c r="O26">
        <v>5000</v>
      </c>
      <c r="P26">
        <v>5600</v>
      </c>
      <c r="Q26" s="52">
        <f t="shared" si="1"/>
        <v>1400.1828073800737</v>
      </c>
      <c r="R26" s="52">
        <f t="shared" si="2"/>
        <v>2999.8171926199266</v>
      </c>
      <c r="S26" s="52">
        <f t="shared" si="3"/>
        <v>2999.817192619926</v>
      </c>
      <c r="T26">
        <v>-1239.4</v>
      </c>
      <c r="U26">
        <v>352.6</v>
      </c>
      <c r="V26" s="54">
        <v>1535</v>
      </c>
      <c r="W26" s="54">
        <v>983</v>
      </c>
      <c r="X26" t="s">
        <v>401</v>
      </c>
      <c r="Y26" t="s">
        <v>401</v>
      </c>
      <c r="Z26" t="s">
        <v>401</v>
      </c>
      <c r="AF26">
        <v>3303</v>
      </c>
      <c r="AG26">
        <f>VLOOKUP('Ballast Calculator'!$D$67,'Drop down Options'!$CS$289:$CV$293,4,FALSE)*Platforms!T26/Platforms!L26</f>
        <v>-283.55276752767526</v>
      </c>
      <c r="AH26">
        <f>VLOOKUP('Ballast Calculator'!$D$67,'Drop down Options'!$CS$289:$CV$293,4,FALSE)+(VLOOKUP('Ballast Calculator'!$D$67,'Drop down Options'!$CS$289:$CV$293,4,FALSE)*T26)/L26</f>
        <v>336.44723247232474</v>
      </c>
      <c r="AI26">
        <f>VLOOKUP('Ballast Calculator'!$D$67,'Drop down Options'!$CS$289:$CV$293,4,FALSE)*(Platforms!L26+Platforms!T26)/Platforms!L26</f>
        <v>336.44723247232474</v>
      </c>
      <c r="AJ26">
        <v>-942.7</v>
      </c>
      <c r="AK26">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26">
        <f>IF(VLOOKUP('Ballast Calculator'!$D$50,'Drop down Options'!$AN$202:$AQ$210,4,FALSE)="",0,Platforms!AK26)</f>
        <v>2494.5318654318653</v>
      </c>
      <c r="AM26">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26">
        <f>IF(VLOOKUP('Ballast Calculator'!$D$50,'Drop down Options'!$AN$202:$AQ$210,4,FALSE)="",0,Platforms!AM26)</f>
        <v>-1106.2318654318653</v>
      </c>
      <c r="AO26">
        <f>VLOOKUP('Ballast Calculator'!$D$54,'Drop down Options'!$CN$277:$CR$280,5,FALSE)*Platforms!AJ26/Platforms!L26</f>
        <v>0</v>
      </c>
      <c r="AP26" s="167">
        <f>VLOOKUP('Ballast Calculator'!$D$54,'Drop down Options'!$CN$277:$CR$280,5,FALSE)+VLOOKUP('Ballast Calculator'!$D$54,'Drop down Options'!$CN$277:$CR$280,5,FALSE)*Platforms!AJ26/Platforms!L26</f>
        <v>0</v>
      </c>
      <c r="AQ26" s="167">
        <f>VLOOKUP('Ballast Calculator'!$D$54,'Drop down Options'!$CN$277:$CR$280,5,FALSE)*(Platforms!AJ26+Platforms!L26)/Platforms!L26</f>
        <v>0</v>
      </c>
      <c r="AR26">
        <f>VLOOKUP('Ballast Calculator'!$D$61,'Drop down Options'!$BW$215:$BZ$248,4,FALSE)*(Platforms!L26+Platforms!AF26)/Platforms!L26</f>
        <v>0</v>
      </c>
      <c r="AS26" s="167">
        <f>-AR26+VLOOKUP('Ballast Calculator'!$D$61,'Drop down Options'!$BW$215:$BZ$248,4,FALSE)</f>
        <v>0</v>
      </c>
      <c r="AT26" s="167">
        <f>-VLOOKUP('Ballast Calculator'!$D$61,'Drop down Options'!$BW$215:$BZ$248,4,FALSE)*Platforms!AF26/Platforms!L26</f>
        <v>0</v>
      </c>
      <c r="AU26">
        <v>0</v>
      </c>
      <c r="AV26">
        <f>VLOOKUP('Ballast Calculator'!$D$64,'Drop down Options'!$CF$253:$CI$272,4,FALSE)</f>
        <v>77</v>
      </c>
      <c r="AW26">
        <f>VLOOKUP('Ballast Calculator'!$D$67,'Drop down Options'!$CS$289:$CV$293,4,FALSE)*Platforms!AZ26/Platforms!L26</f>
        <v>-283.4841328413284</v>
      </c>
      <c r="AX26">
        <f>AW26+VLOOKUP('Ballast Calculator'!$D$67,'Drop down Options'!$CS$289:$CV$293,4,FALSE)</f>
        <v>336.5158671586716</v>
      </c>
      <c r="AY26">
        <f>VLOOKUP('Ballast Calculator'!$D$67,'Drop down Options'!$CS$289:$CV$293,4,FALSE)*(Platforms!AZ26+Platforms!L26)/Platforms!L26</f>
        <v>336.5158671586716</v>
      </c>
      <c r="AZ26">
        <f t="shared" si="4"/>
        <v>-1239.1</v>
      </c>
    </row>
    <row r="27" spans="1:52" ht="12.75">
      <c r="A27" s="52" t="str">
        <f t="shared" si="0"/>
        <v>6230OOS2WDS+</v>
      </c>
      <c r="B27">
        <v>25</v>
      </c>
      <c r="C27">
        <v>6230</v>
      </c>
      <c r="D27" t="s">
        <v>63</v>
      </c>
      <c r="E27" t="s">
        <v>6</v>
      </c>
      <c r="F27" s="54" t="s">
        <v>68</v>
      </c>
      <c r="G27" s="53">
        <v>39870</v>
      </c>
      <c r="H27">
        <v>4100</v>
      </c>
      <c r="I27">
        <v>862.38532</v>
      </c>
      <c r="J27">
        <v>744</v>
      </c>
      <c r="K27">
        <v>272.9</v>
      </c>
      <c r="L27">
        <v>2710</v>
      </c>
      <c r="M27">
        <v>880</v>
      </c>
      <c r="N27">
        <v>6925</v>
      </c>
      <c r="O27">
        <v>5000</v>
      </c>
      <c r="P27">
        <v>5600</v>
      </c>
      <c r="Q27" s="52">
        <f t="shared" si="1"/>
        <v>1304.7157977859779</v>
      </c>
      <c r="R27" s="52">
        <f t="shared" si="2"/>
        <v>2795.284202214022</v>
      </c>
      <c r="S27" s="52">
        <f t="shared" si="3"/>
        <v>2795.2842022140226</v>
      </c>
      <c r="T27">
        <v>-1239.4</v>
      </c>
      <c r="U27">
        <v>352.6</v>
      </c>
      <c r="V27" s="54">
        <v>1535</v>
      </c>
      <c r="W27" s="54">
        <v>983</v>
      </c>
      <c r="X27" t="s">
        <v>401</v>
      </c>
      <c r="Y27" t="s">
        <v>401</v>
      </c>
      <c r="Z27" t="s">
        <v>401</v>
      </c>
      <c r="AF27">
        <v>3303</v>
      </c>
      <c r="AG27">
        <f>VLOOKUP('Ballast Calculator'!$D$67,'Drop down Options'!$CS$289:$CV$293,4,FALSE)*Platforms!T27/Platforms!L27</f>
        <v>-283.55276752767526</v>
      </c>
      <c r="AH27">
        <f>VLOOKUP('Ballast Calculator'!$D$67,'Drop down Options'!$CS$289:$CV$293,4,FALSE)+(VLOOKUP('Ballast Calculator'!$D$67,'Drop down Options'!$CS$289:$CV$293,4,FALSE)*T27)/L27</f>
        <v>336.44723247232474</v>
      </c>
      <c r="AI27">
        <f>VLOOKUP('Ballast Calculator'!$D$67,'Drop down Options'!$CS$289:$CV$293,4,FALSE)*(Platforms!L27+Platforms!T27)/Platforms!L27</f>
        <v>336.44723247232474</v>
      </c>
      <c r="AJ27">
        <v>-942.7</v>
      </c>
      <c r="AK27">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27">
        <f>IF(VLOOKUP('Ballast Calculator'!$D$50,'Drop down Options'!$AN$202:$AQ$210,4,FALSE)="",0,Platforms!AK27)</f>
        <v>2494.5318654318653</v>
      </c>
      <c r="AM27">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27">
        <f>IF(VLOOKUP('Ballast Calculator'!$D$50,'Drop down Options'!$AN$202:$AQ$210,4,FALSE)="",0,Platforms!AM27)</f>
        <v>-1106.2318654318653</v>
      </c>
      <c r="AO27">
        <f>VLOOKUP('Ballast Calculator'!$D$54,'Drop down Options'!$CN$277:$CR$280,5,FALSE)*Platforms!AJ27/Platforms!L27</f>
        <v>0</v>
      </c>
      <c r="AP27" s="167">
        <f>VLOOKUP('Ballast Calculator'!$D$54,'Drop down Options'!$CN$277:$CR$280,5,FALSE)+VLOOKUP('Ballast Calculator'!$D$54,'Drop down Options'!$CN$277:$CR$280,5,FALSE)*Platforms!AJ27/Platforms!L27</f>
        <v>0</v>
      </c>
      <c r="AQ27" s="167">
        <f>VLOOKUP('Ballast Calculator'!$D$54,'Drop down Options'!$CN$277:$CR$280,5,FALSE)*(Platforms!AJ27+Platforms!L27)/Platforms!L27</f>
        <v>0</v>
      </c>
      <c r="AR27">
        <f>VLOOKUP('Ballast Calculator'!$D$61,'Drop down Options'!$BW$215:$BZ$248,4,FALSE)*(Platforms!L27+Platforms!AF27)/Platforms!L27</f>
        <v>0</v>
      </c>
      <c r="AS27" s="167">
        <f>-AR27+VLOOKUP('Ballast Calculator'!$D$61,'Drop down Options'!$BW$215:$BZ$248,4,FALSE)</f>
        <v>0</v>
      </c>
      <c r="AT27" s="167">
        <f>-VLOOKUP('Ballast Calculator'!$D$61,'Drop down Options'!$BW$215:$BZ$248,4,FALSE)*Platforms!AF27/Platforms!L27</f>
        <v>0</v>
      </c>
      <c r="AU27">
        <v>0</v>
      </c>
      <c r="AV27">
        <f>VLOOKUP('Ballast Calculator'!$D$64,'Drop down Options'!$CF$253:$CI$272,4,FALSE)</f>
        <v>77</v>
      </c>
      <c r="AW27">
        <f>VLOOKUP('Ballast Calculator'!$D$67,'Drop down Options'!$CS$289:$CV$293,4,FALSE)*Platforms!AZ27/Platforms!L27</f>
        <v>-283.4841328413284</v>
      </c>
      <c r="AX27">
        <f>AW27+VLOOKUP('Ballast Calculator'!$D$67,'Drop down Options'!$CS$289:$CV$293,4,FALSE)</f>
        <v>336.5158671586716</v>
      </c>
      <c r="AY27">
        <f>VLOOKUP('Ballast Calculator'!$D$67,'Drop down Options'!$CS$289:$CV$293,4,FALSE)*(Platforms!AZ27+Platforms!L27)/Platforms!L27</f>
        <v>336.5158671586716</v>
      </c>
      <c r="AZ27">
        <f t="shared" si="4"/>
        <v>-1239.1</v>
      </c>
    </row>
    <row r="28" spans="1:52" ht="12.75">
      <c r="A28" s="52" t="str">
        <f t="shared" si="0"/>
        <v>6230OOS2WDPQ</v>
      </c>
      <c r="B28">
        <v>26</v>
      </c>
      <c r="C28">
        <v>6230</v>
      </c>
      <c r="D28" t="s">
        <v>63</v>
      </c>
      <c r="E28" t="s">
        <v>6</v>
      </c>
      <c r="F28" s="54" t="s">
        <v>70</v>
      </c>
      <c r="G28" s="53">
        <v>39870</v>
      </c>
      <c r="H28">
        <v>4100</v>
      </c>
      <c r="I28">
        <v>862.38532</v>
      </c>
      <c r="J28">
        <v>744</v>
      </c>
      <c r="K28">
        <v>272.9</v>
      </c>
      <c r="L28">
        <v>2710</v>
      </c>
      <c r="M28">
        <v>880</v>
      </c>
      <c r="N28">
        <v>6925</v>
      </c>
      <c r="O28">
        <v>5000</v>
      </c>
      <c r="P28">
        <v>5600</v>
      </c>
      <c r="Q28" s="52">
        <f t="shared" si="1"/>
        <v>1304.7157977859779</v>
      </c>
      <c r="R28" s="52">
        <f t="shared" si="2"/>
        <v>2795.284202214022</v>
      </c>
      <c r="S28" s="52">
        <f t="shared" si="3"/>
        <v>2795.2842022140226</v>
      </c>
      <c r="T28">
        <v>-1239.4</v>
      </c>
      <c r="U28">
        <v>352.6</v>
      </c>
      <c r="V28" s="54">
        <v>1535</v>
      </c>
      <c r="W28" s="54">
        <v>983</v>
      </c>
      <c r="X28" t="s">
        <v>401</v>
      </c>
      <c r="Y28" t="s">
        <v>401</v>
      </c>
      <c r="Z28" t="s">
        <v>401</v>
      </c>
      <c r="AF28">
        <v>3303</v>
      </c>
      <c r="AG28">
        <f>VLOOKUP('Ballast Calculator'!$D$67,'Drop down Options'!$CS$289:$CV$293,4,FALSE)*Platforms!T28/Platforms!L28</f>
        <v>-283.55276752767526</v>
      </c>
      <c r="AH28">
        <f>VLOOKUP('Ballast Calculator'!$D$67,'Drop down Options'!$CS$289:$CV$293,4,FALSE)+(VLOOKUP('Ballast Calculator'!$D$67,'Drop down Options'!$CS$289:$CV$293,4,FALSE)*T28)/L28</f>
        <v>336.44723247232474</v>
      </c>
      <c r="AI28">
        <f>VLOOKUP('Ballast Calculator'!$D$67,'Drop down Options'!$CS$289:$CV$293,4,FALSE)*(Platforms!L28+Platforms!T28)/Platforms!L28</f>
        <v>336.44723247232474</v>
      </c>
      <c r="AJ28">
        <v>-942.7</v>
      </c>
      <c r="AK28">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28">
        <f>IF(VLOOKUP('Ballast Calculator'!$D$50,'Drop down Options'!$AN$202:$AQ$210,4,FALSE)="",0,Platforms!AK28)</f>
        <v>2494.5318654318653</v>
      </c>
      <c r="AM28">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28">
        <f>IF(VLOOKUP('Ballast Calculator'!$D$50,'Drop down Options'!$AN$202:$AQ$210,4,FALSE)="",0,Platforms!AM28)</f>
        <v>-1106.2318654318653</v>
      </c>
      <c r="AO28">
        <f>VLOOKUP('Ballast Calculator'!$D$54,'Drop down Options'!$CN$277:$CR$280,5,FALSE)*Platforms!AJ28/Platforms!L28</f>
        <v>0</v>
      </c>
      <c r="AP28" s="167">
        <f>VLOOKUP('Ballast Calculator'!$D$54,'Drop down Options'!$CN$277:$CR$280,5,FALSE)+VLOOKUP('Ballast Calculator'!$D$54,'Drop down Options'!$CN$277:$CR$280,5,FALSE)*Platforms!AJ28/Platforms!L28</f>
        <v>0</v>
      </c>
      <c r="AQ28" s="167">
        <f>VLOOKUP('Ballast Calculator'!$D$54,'Drop down Options'!$CN$277:$CR$280,5,FALSE)*(Platforms!AJ28+Platforms!L28)/Platforms!L28</f>
        <v>0</v>
      </c>
      <c r="AR28">
        <f>VLOOKUP('Ballast Calculator'!$D$61,'Drop down Options'!$BW$215:$BZ$248,4,FALSE)*(Platforms!L28+Platforms!AF28)/Platforms!L28</f>
        <v>0</v>
      </c>
      <c r="AS28" s="167">
        <f>-AR28+VLOOKUP('Ballast Calculator'!$D$61,'Drop down Options'!$BW$215:$BZ$248,4,FALSE)</f>
        <v>0</v>
      </c>
      <c r="AT28" s="167">
        <f>-VLOOKUP('Ballast Calculator'!$D$61,'Drop down Options'!$BW$215:$BZ$248,4,FALSE)*Platforms!AF28/Platforms!L28</f>
        <v>0</v>
      </c>
      <c r="AU28">
        <v>0</v>
      </c>
      <c r="AV28">
        <f>VLOOKUP('Ballast Calculator'!$D$64,'Drop down Options'!$CF$253:$CI$272,4,FALSE)</f>
        <v>77</v>
      </c>
      <c r="AW28">
        <f>VLOOKUP('Ballast Calculator'!$D$67,'Drop down Options'!$CS$289:$CV$293,4,FALSE)*Platforms!AZ28/Platforms!L28</f>
        <v>-283.4841328413284</v>
      </c>
      <c r="AX28">
        <f>AW28+VLOOKUP('Ballast Calculator'!$D$67,'Drop down Options'!$CS$289:$CV$293,4,FALSE)</f>
        <v>336.5158671586716</v>
      </c>
      <c r="AY28">
        <f>VLOOKUP('Ballast Calculator'!$D$67,'Drop down Options'!$CS$289:$CV$293,4,FALSE)*(Platforms!AZ28+Platforms!L28)/Platforms!L28</f>
        <v>336.5158671586716</v>
      </c>
      <c r="AZ28">
        <f t="shared" si="4"/>
        <v>-1239.1</v>
      </c>
    </row>
    <row r="29" spans="1:52" ht="12.75">
      <c r="A29" s="52" t="str">
        <f t="shared" si="0"/>
        <v>6230Premium2WDPQ+</v>
      </c>
      <c r="B29">
        <v>27</v>
      </c>
      <c r="C29">
        <v>6230</v>
      </c>
      <c r="D29" t="s">
        <v>71</v>
      </c>
      <c r="E29" t="s">
        <v>6</v>
      </c>
      <c r="F29" s="54" t="s">
        <v>69</v>
      </c>
      <c r="G29" s="53">
        <v>39870</v>
      </c>
      <c r="H29">
        <v>4400</v>
      </c>
      <c r="I29">
        <v>862.38532</v>
      </c>
      <c r="J29">
        <v>744</v>
      </c>
      <c r="K29">
        <v>293.7</v>
      </c>
      <c r="L29">
        <v>2846</v>
      </c>
      <c r="M29">
        <v>880</v>
      </c>
      <c r="N29">
        <v>8000</v>
      </c>
      <c r="O29">
        <v>5000</v>
      </c>
      <c r="P29">
        <v>5600</v>
      </c>
      <c r="Q29" s="52">
        <f t="shared" si="1"/>
        <v>1333.273158116655</v>
      </c>
      <c r="R29" s="52">
        <f t="shared" si="2"/>
        <v>3066.726841883345</v>
      </c>
      <c r="S29" s="52">
        <f t="shared" si="3"/>
        <v>3066.726841883345</v>
      </c>
      <c r="T29">
        <v>-1239.4</v>
      </c>
      <c r="U29">
        <v>352.6</v>
      </c>
      <c r="V29" s="54">
        <v>1535</v>
      </c>
      <c r="W29" s="54">
        <v>983</v>
      </c>
      <c r="X29" t="s">
        <v>401</v>
      </c>
      <c r="Y29" t="s">
        <v>401</v>
      </c>
      <c r="Z29" t="s">
        <v>401</v>
      </c>
      <c r="AF29">
        <v>3303</v>
      </c>
      <c r="AG29">
        <f>VLOOKUP('Ballast Calculator'!$D$67,'Drop down Options'!$CS$289:$CV$293,4,FALSE)*Platforms!T29/Platforms!L29</f>
        <v>-270.0028109627547</v>
      </c>
      <c r="AH29">
        <f>VLOOKUP('Ballast Calculator'!$D$67,'Drop down Options'!$CS$289:$CV$293,4,FALSE)+(VLOOKUP('Ballast Calculator'!$D$67,'Drop down Options'!$CS$289:$CV$293,4,FALSE)*T29)/L29</f>
        <v>349.9971890372453</v>
      </c>
      <c r="AI29">
        <f>VLOOKUP('Ballast Calculator'!$D$67,'Drop down Options'!$CS$289:$CV$293,4,FALSE)*(Platforms!L29+Platforms!T29)/Platforms!L29</f>
        <v>349.9971890372453</v>
      </c>
      <c r="AJ29">
        <v>-942.7</v>
      </c>
      <c r="AK29">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29">
        <f>IF(VLOOKUP('Ballast Calculator'!$D$50,'Drop down Options'!$AN$202:$AQ$210,4,FALSE)="",0,Platforms!AK29)</f>
        <v>2494.5318654318653</v>
      </c>
      <c r="AM29">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29">
        <f>IF(VLOOKUP('Ballast Calculator'!$D$50,'Drop down Options'!$AN$202:$AQ$210,4,FALSE)="",0,Platforms!AM29)</f>
        <v>-1106.2318654318653</v>
      </c>
      <c r="AO29">
        <f>VLOOKUP('Ballast Calculator'!$D$54,'Drop down Options'!$CN$277:$CR$280,5,FALSE)*Platforms!AJ29/Platforms!L29</f>
        <v>0</v>
      </c>
      <c r="AP29" s="167">
        <f>VLOOKUP('Ballast Calculator'!$D$54,'Drop down Options'!$CN$277:$CR$280,5,FALSE)+VLOOKUP('Ballast Calculator'!$D$54,'Drop down Options'!$CN$277:$CR$280,5,FALSE)*Platforms!AJ29/Platforms!L29</f>
        <v>0</v>
      </c>
      <c r="AQ29" s="167">
        <f>VLOOKUP('Ballast Calculator'!$D$54,'Drop down Options'!$CN$277:$CR$280,5,FALSE)*(Platforms!AJ29+Platforms!L29)/Platforms!L29</f>
        <v>0</v>
      </c>
      <c r="AR29">
        <f>VLOOKUP('Ballast Calculator'!$D$61,'Drop down Options'!$BW$215:$BZ$248,4,FALSE)*(Platforms!L29+Platforms!AF29)/Platforms!L29</f>
        <v>0</v>
      </c>
      <c r="AS29" s="167">
        <f>-AR29+VLOOKUP('Ballast Calculator'!$D$61,'Drop down Options'!$BW$215:$BZ$248,4,FALSE)</f>
        <v>0</v>
      </c>
      <c r="AT29" s="167">
        <f>-VLOOKUP('Ballast Calculator'!$D$61,'Drop down Options'!$BW$215:$BZ$248,4,FALSE)*Platforms!AF29/Platforms!L29</f>
        <v>0</v>
      </c>
      <c r="AU29">
        <v>0</v>
      </c>
      <c r="AV29">
        <f>VLOOKUP('Ballast Calculator'!$D$64,'Drop down Options'!$CF$253:$CI$272,4,FALSE)</f>
        <v>77</v>
      </c>
      <c r="AW29">
        <f>VLOOKUP('Ballast Calculator'!$D$67,'Drop down Options'!$CS$289:$CV$293,4,FALSE)*Platforms!AZ29/Platforms!L29</f>
        <v>-269.93745607870693</v>
      </c>
      <c r="AX29">
        <f>AW29+VLOOKUP('Ballast Calculator'!$D$67,'Drop down Options'!$CS$289:$CV$293,4,FALSE)</f>
        <v>350.06254392129307</v>
      </c>
      <c r="AY29">
        <f>VLOOKUP('Ballast Calculator'!$D$67,'Drop down Options'!$CS$289:$CV$293,4,FALSE)*(Platforms!AZ29+Platforms!L29)/Platforms!L29</f>
        <v>350.06254392129307</v>
      </c>
      <c r="AZ29">
        <f t="shared" si="4"/>
        <v>-1239.1</v>
      </c>
    </row>
    <row r="30" spans="1:52" ht="12.75">
      <c r="A30" s="52" t="str">
        <f t="shared" si="0"/>
        <v>6230Premium2WDAQ+</v>
      </c>
      <c r="B30">
        <v>28</v>
      </c>
      <c r="C30">
        <v>6230</v>
      </c>
      <c r="D30" t="s">
        <v>71</v>
      </c>
      <c r="E30" t="s">
        <v>6</v>
      </c>
      <c r="F30" s="54" t="s">
        <v>72</v>
      </c>
      <c r="G30" s="53">
        <v>39870</v>
      </c>
      <c r="H30">
        <v>4400</v>
      </c>
      <c r="I30">
        <v>862.38532</v>
      </c>
      <c r="J30">
        <v>744</v>
      </c>
      <c r="K30">
        <v>293.7</v>
      </c>
      <c r="L30">
        <v>2846</v>
      </c>
      <c r="M30">
        <v>880</v>
      </c>
      <c r="N30">
        <v>8000</v>
      </c>
      <c r="O30">
        <v>5000</v>
      </c>
      <c r="P30">
        <v>5600</v>
      </c>
      <c r="Q30" s="52">
        <f t="shared" si="1"/>
        <v>1333.273158116655</v>
      </c>
      <c r="R30" s="52">
        <f t="shared" si="2"/>
        <v>3066.726841883345</v>
      </c>
      <c r="S30" s="52">
        <f t="shared" si="3"/>
        <v>3066.726841883345</v>
      </c>
      <c r="T30">
        <v>-1239.4</v>
      </c>
      <c r="U30">
        <v>352.6</v>
      </c>
      <c r="V30" s="54">
        <v>1535</v>
      </c>
      <c r="W30" s="54">
        <v>983</v>
      </c>
      <c r="X30" t="s">
        <v>401</v>
      </c>
      <c r="Y30" t="s">
        <v>401</v>
      </c>
      <c r="Z30" t="s">
        <v>401</v>
      </c>
      <c r="AF30">
        <v>3303</v>
      </c>
      <c r="AG30">
        <f>VLOOKUP('Ballast Calculator'!$D$67,'Drop down Options'!$CS$289:$CV$293,4,FALSE)*Platforms!T30/Platforms!L30</f>
        <v>-270.0028109627547</v>
      </c>
      <c r="AH30">
        <f>VLOOKUP('Ballast Calculator'!$D$67,'Drop down Options'!$CS$289:$CV$293,4,FALSE)+(VLOOKUP('Ballast Calculator'!$D$67,'Drop down Options'!$CS$289:$CV$293,4,FALSE)*T30)/L30</f>
        <v>349.9971890372453</v>
      </c>
      <c r="AI30">
        <f>VLOOKUP('Ballast Calculator'!$D$67,'Drop down Options'!$CS$289:$CV$293,4,FALSE)*(Platforms!L30+Platforms!T30)/Platforms!L30</f>
        <v>349.9971890372453</v>
      </c>
      <c r="AJ30">
        <v>-942.7</v>
      </c>
      <c r="AK30">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30">
        <f>IF(VLOOKUP('Ballast Calculator'!$D$50,'Drop down Options'!$AN$202:$AQ$210,4,FALSE)="",0,Platforms!AK30)</f>
        <v>2494.5318654318653</v>
      </c>
      <c r="AM30">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30">
        <f>IF(VLOOKUP('Ballast Calculator'!$D$50,'Drop down Options'!$AN$202:$AQ$210,4,FALSE)="",0,Platforms!AM30)</f>
        <v>-1106.2318654318653</v>
      </c>
      <c r="AO30">
        <f>VLOOKUP('Ballast Calculator'!$D$54,'Drop down Options'!$CN$277:$CR$280,5,FALSE)*Platforms!AJ30/Platforms!L30</f>
        <v>0</v>
      </c>
      <c r="AP30" s="167">
        <f>VLOOKUP('Ballast Calculator'!$D$54,'Drop down Options'!$CN$277:$CR$280,5,FALSE)+VLOOKUP('Ballast Calculator'!$D$54,'Drop down Options'!$CN$277:$CR$280,5,FALSE)*Platforms!AJ30/Platforms!L30</f>
        <v>0</v>
      </c>
      <c r="AQ30" s="167">
        <f>VLOOKUP('Ballast Calculator'!$D$54,'Drop down Options'!$CN$277:$CR$280,5,FALSE)*(Platforms!AJ30+Platforms!L30)/Platforms!L30</f>
        <v>0</v>
      </c>
      <c r="AR30">
        <f>VLOOKUP('Ballast Calculator'!$D$61,'Drop down Options'!$BW$215:$BZ$248,4,FALSE)*(Platforms!L30+Platforms!AF30)/Platforms!L30</f>
        <v>0</v>
      </c>
      <c r="AS30" s="167">
        <f>-AR30+VLOOKUP('Ballast Calculator'!$D$61,'Drop down Options'!$BW$215:$BZ$248,4,FALSE)</f>
        <v>0</v>
      </c>
      <c r="AT30" s="167">
        <f>-VLOOKUP('Ballast Calculator'!$D$61,'Drop down Options'!$BW$215:$BZ$248,4,FALSE)*Platforms!AF30/Platforms!L30</f>
        <v>0</v>
      </c>
      <c r="AU30">
        <v>0</v>
      </c>
      <c r="AV30">
        <f>VLOOKUP('Ballast Calculator'!$D$64,'Drop down Options'!$CF$253:$CI$272,4,FALSE)</f>
        <v>77</v>
      </c>
      <c r="AW30">
        <f>VLOOKUP('Ballast Calculator'!$D$67,'Drop down Options'!$CS$289:$CV$293,4,FALSE)*Platforms!AZ30/Platforms!L30</f>
        <v>-269.93745607870693</v>
      </c>
      <c r="AX30">
        <f>AW30+VLOOKUP('Ballast Calculator'!$D$67,'Drop down Options'!$CS$289:$CV$293,4,FALSE)</f>
        <v>350.06254392129307</v>
      </c>
      <c r="AY30">
        <f>VLOOKUP('Ballast Calculator'!$D$67,'Drop down Options'!$CS$289:$CV$293,4,FALSE)*(Platforms!AZ30+Platforms!L30)/Platforms!L30</f>
        <v>350.06254392129307</v>
      </c>
      <c r="AZ30">
        <f t="shared" si="4"/>
        <v>-1239.1</v>
      </c>
    </row>
    <row r="31" spans="1:52" ht="12.75">
      <c r="A31" s="52" t="str">
        <f t="shared" si="0"/>
        <v>6230CABMFWDS+</v>
      </c>
      <c r="B31">
        <v>29</v>
      </c>
      <c r="C31">
        <v>6230</v>
      </c>
      <c r="D31" t="s">
        <v>60</v>
      </c>
      <c r="E31" t="s">
        <v>64</v>
      </c>
      <c r="F31" t="s">
        <v>68</v>
      </c>
      <c r="G31" s="53">
        <v>39870</v>
      </c>
      <c r="H31">
        <v>4400</v>
      </c>
      <c r="I31">
        <v>862.38532</v>
      </c>
      <c r="J31">
        <v>150</v>
      </c>
      <c r="K31">
        <v>400</v>
      </c>
      <c r="L31">
        <v>2645.5</v>
      </c>
      <c r="M31">
        <v>880</v>
      </c>
      <c r="N31">
        <v>7600</v>
      </c>
      <c r="O31">
        <v>5500</v>
      </c>
      <c r="P31">
        <v>6000</v>
      </c>
      <c r="Q31" s="52">
        <f t="shared" si="1"/>
        <v>1434.3206985446984</v>
      </c>
      <c r="R31" s="52">
        <f t="shared" si="2"/>
        <v>2965.6793014553014</v>
      </c>
      <c r="S31" s="52">
        <f t="shared" si="3"/>
        <v>2965.6793014553014</v>
      </c>
      <c r="T31">
        <v>-1239.4</v>
      </c>
      <c r="U31">
        <v>352.6</v>
      </c>
      <c r="V31" s="54">
        <v>1535</v>
      </c>
      <c r="W31" s="54">
        <v>983</v>
      </c>
      <c r="X31" t="s">
        <v>401</v>
      </c>
      <c r="Y31" t="s">
        <v>401</v>
      </c>
      <c r="Z31" t="s">
        <v>401</v>
      </c>
      <c r="AA31" t="s">
        <v>401</v>
      </c>
      <c r="AF31">
        <v>3303</v>
      </c>
      <c r="AG31">
        <f>VLOOKUP('Ballast Calculator'!$D$67,'Drop down Options'!$CS$289:$CV$293,4,FALSE)*Platforms!T31/Platforms!L31</f>
        <v>-290.4660744660745</v>
      </c>
      <c r="AH31">
        <f>VLOOKUP('Ballast Calculator'!$D$67,'Drop down Options'!$CS$289:$CV$293,4,FALSE)+(VLOOKUP('Ballast Calculator'!$D$67,'Drop down Options'!$CS$289:$CV$293,4,FALSE)*T31)/L31</f>
        <v>329.5339255339255</v>
      </c>
      <c r="AI31">
        <f>VLOOKUP('Ballast Calculator'!$D$67,'Drop down Options'!$CS$289:$CV$293,4,FALSE)*(Platforms!L31+Platforms!T31)/Platforms!L31</f>
        <v>329.5339255339255</v>
      </c>
      <c r="AJ31">
        <v>-942.7</v>
      </c>
      <c r="AK31">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31">
        <f>IF(VLOOKUP('Ballast Calculator'!$D$50,'Drop down Options'!$AN$202:$AQ$210,4,FALSE)="",0,Platforms!AK31)</f>
        <v>2494.5318654318653</v>
      </c>
      <c r="AM31">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31">
        <f>IF(VLOOKUP('Ballast Calculator'!$D$50,'Drop down Options'!$AN$202:$AQ$210,4,FALSE)="",0,Platforms!AM31)</f>
        <v>-1106.2318654318653</v>
      </c>
      <c r="AO31">
        <f>VLOOKUP('Ballast Calculator'!$D$54,'Drop down Options'!$CN$277:$CR$280,5,FALSE)*Platforms!AJ31/Platforms!L31</f>
        <v>0</v>
      </c>
      <c r="AP31" s="167">
        <f>VLOOKUP('Ballast Calculator'!$D$54,'Drop down Options'!$CN$277:$CR$280,5,FALSE)+VLOOKUP('Ballast Calculator'!$D$54,'Drop down Options'!$CN$277:$CR$280,5,FALSE)*Platforms!AJ31/Platforms!L31</f>
        <v>0</v>
      </c>
      <c r="AQ31" s="167">
        <f>VLOOKUP('Ballast Calculator'!$D$54,'Drop down Options'!$CN$277:$CR$280,5,FALSE)*(Platforms!AJ31+Platforms!L31)/Platforms!L31</f>
        <v>0</v>
      </c>
      <c r="AR31">
        <f>VLOOKUP('Ballast Calculator'!$D$61,'Drop down Options'!$BW$215:$BZ$248,4,FALSE)*(Platforms!L31+Platforms!AF31)/Platforms!L31</f>
        <v>0</v>
      </c>
      <c r="AS31" s="167">
        <f>-AR31+VLOOKUP('Ballast Calculator'!$D$61,'Drop down Options'!$BW$215:$BZ$248,4,FALSE)</f>
        <v>0</v>
      </c>
      <c r="AT31" s="167">
        <f>-VLOOKUP('Ballast Calculator'!$D$61,'Drop down Options'!$BW$215:$BZ$248,4,FALSE)*Platforms!AF31/Platforms!L31</f>
        <v>0</v>
      </c>
      <c r="AU31">
        <v>0</v>
      </c>
      <c r="AV31">
        <f>VLOOKUP('Ballast Calculator'!$D$64,'Drop down Options'!$CF$253:$CI$272,4,FALSE)</f>
        <v>77</v>
      </c>
      <c r="AW31">
        <f>VLOOKUP('Ballast Calculator'!$D$67,'Drop down Options'!$CS$289:$CV$293,4,FALSE)*Platforms!AZ31/Platforms!L31</f>
        <v>-290.3957663957664</v>
      </c>
      <c r="AX31">
        <f>AW31+VLOOKUP('Ballast Calculator'!$D$67,'Drop down Options'!$CS$289:$CV$293,4,FALSE)</f>
        <v>329.6042336042336</v>
      </c>
      <c r="AY31">
        <f>VLOOKUP('Ballast Calculator'!$D$67,'Drop down Options'!$CS$289:$CV$293,4,FALSE)*(Platforms!AZ31+Platforms!L31)/Platforms!L31</f>
        <v>329.6042336042336</v>
      </c>
      <c r="AZ31">
        <f t="shared" si="4"/>
        <v>-1239.1</v>
      </c>
    </row>
    <row r="32" spans="1:52" ht="12.75">
      <c r="A32" s="52" t="str">
        <f t="shared" si="0"/>
        <v>6230CABMFWDPQ+</v>
      </c>
      <c r="B32">
        <v>30</v>
      </c>
      <c r="C32">
        <v>6230</v>
      </c>
      <c r="D32" t="s">
        <v>60</v>
      </c>
      <c r="E32" t="s">
        <v>64</v>
      </c>
      <c r="F32" t="s">
        <v>69</v>
      </c>
      <c r="G32" s="53">
        <v>39870</v>
      </c>
      <c r="H32">
        <v>4400</v>
      </c>
      <c r="I32">
        <v>862.38532</v>
      </c>
      <c r="J32">
        <v>150</v>
      </c>
      <c r="K32">
        <v>400</v>
      </c>
      <c r="L32">
        <v>2645.5</v>
      </c>
      <c r="M32">
        <v>880</v>
      </c>
      <c r="N32">
        <v>7600</v>
      </c>
      <c r="O32">
        <v>5500</v>
      </c>
      <c r="P32">
        <v>6000</v>
      </c>
      <c r="Q32" s="52">
        <f t="shared" si="1"/>
        <v>1434.3206985446984</v>
      </c>
      <c r="R32" s="52">
        <f t="shared" si="2"/>
        <v>2965.6793014553014</v>
      </c>
      <c r="S32" s="52">
        <f t="shared" si="3"/>
        <v>2965.6793014553014</v>
      </c>
      <c r="T32">
        <v>-1239.4</v>
      </c>
      <c r="U32">
        <v>352.6</v>
      </c>
      <c r="V32" s="54">
        <v>1535</v>
      </c>
      <c r="W32" s="54">
        <v>983</v>
      </c>
      <c r="X32" t="s">
        <v>401</v>
      </c>
      <c r="Y32" t="s">
        <v>401</v>
      </c>
      <c r="Z32" t="s">
        <v>401</v>
      </c>
      <c r="AA32" t="s">
        <v>401</v>
      </c>
      <c r="AF32">
        <v>3303</v>
      </c>
      <c r="AG32">
        <f>VLOOKUP('Ballast Calculator'!$D$67,'Drop down Options'!$CS$289:$CV$293,4,FALSE)*Platforms!T32/Platforms!L32</f>
        <v>-290.4660744660745</v>
      </c>
      <c r="AH32">
        <f>VLOOKUP('Ballast Calculator'!$D$67,'Drop down Options'!$CS$289:$CV$293,4,FALSE)+(VLOOKUP('Ballast Calculator'!$D$67,'Drop down Options'!$CS$289:$CV$293,4,FALSE)*T32)/L32</f>
        <v>329.5339255339255</v>
      </c>
      <c r="AI32">
        <f>VLOOKUP('Ballast Calculator'!$D$67,'Drop down Options'!$CS$289:$CV$293,4,FALSE)*(Platforms!L32+Platforms!T32)/Platforms!L32</f>
        <v>329.5339255339255</v>
      </c>
      <c r="AJ32">
        <v>-942.7</v>
      </c>
      <c r="AK32">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32">
        <f>IF(VLOOKUP('Ballast Calculator'!$D$50,'Drop down Options'!$AN$202:$AQ$210,4,FALSE)="",0,Platforms!AK32)</f>
        <v>2494.5318654318653</v>
      </c>
      <c r="AM32">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32">
        <f>IF(VLOOKUP('Ballast Calculator'!$D$50,'Drop down Options'!$AN$202:$AQ$210,4,FALSE)="",0,Platforms!AM32)</f>
        <v>-1106.2318654318653</v>
      </c>
      <c r="AO32">
        <f>VLOOKUP('Ballast Calculator'!$D$54,'Drop down Options'!$CN$277:$CR$280,5,FALSE)*Platforms!AJ32/Platforms!L32</f>
        <v>0</v>
      </c>
      <c r="AP32" s="167">
        <f>VLOOKUP('Ballast Calculator'!$D$54,'Drop down Options'!$CN$277:$CR$280,5,FALSE)+VLOOKUP('Ballast Calculator'!$D$54,'Drop down Options'!$CN$277:$CR$280,5,FALSE)*Platforms!AJ32/Platforms!L32</f>
        <v>0</v>
      </c>
      <c r="AQ32" s="167">
        <f>VLOOKUP('Ballast Calculator'!$D$54,'Drop down Options'!$CN$277:$CR$280,5,FALSE)*(Platforms!AJ32+Platforms!L32)/Platforms!L32</f>
        <v>0</v>
      </c>
      <c r="AR32">
        <f>VLOOKUP('Ballast Calculator'!$D$61,'Drop down Options'!$BW$215:$BZ$248,4,FALSE)*(Platforms!L32+Platforms!AF32)/Platforms!L32</f>
        <v>0</v>
      </c>
      <c r="AS32" s="167">
        <f>-AR32+VLOOKUP('Ballast Calculator'!$D$61,'Drop down Options'!$BW$215:$BZ$248,4,FALSE)</f>
        <v>0</v>
      </c>
      <c r="AT32" s="167">
        <f>-VLOOKUP('Ballast Calculator'!$D$61,'Drop down Options'!$BW$215:$BZ$248,4,FALSE)*Platforms!AF32/Platforms!L32</f>
        <v>0</v>
      </c>
      <c r="AU32">
        <v>0</v>
      </c>
      <c r="AV32">
        <f>VLOOKUP('Ballast Calculator'!$D$64,'Drop down Options'!$CF$253:$CI$272,4,FALSE)</f>
        <v>77</v>
      </c>
      <c r="AW32">
        <f>VLOOKUP('Ballast Calculator'!$D$67,'Drop down Options'!$CS$289:$CV$293,4,FALSE)*Platforms!AZ32/Platforms!L32</f>
        <v>-290.3957663957664</v>
      </c>
      <c r="AX32">
        <f>AW32+VLOOKUP('Ballast Calculator'!$D$67,'Drop down Options'!$CS$289:$CV$293,4,FALSE)</f>
        <v>329.6042336042336</v>
      </c>
      <c r="AY32">
        <f>VLOOKUP('Ballast Calculator'!$D$67,'Drop down Options'!$CS$289:$CV$293,4,FALSE)*(Platforms!AZ32+Platforms!L32)/Platforms!L32</f>
        <v>329.6042336042336</v>
      </c>
      <c r="AZ32">
        <f t="shared" si="4"/>
        <v>-1239.1</v>
      </c>
    </row>
    <row r="33" spans="1:52" ht="12.75">
      <c r="A33" s="52" t="str">
        <f t="shared" si="0"/>
        <v>6230OOSMFWDS+</v>
      </c>
      <c r="B33">
        <v>31</v>
      </c>
      <c r="C33">
        <v>6230</v>
      </c>
      <c r="D33" t="s">
        <v>63</v>
      </c>
      <c r="E33" t="s">
        <v>64</v>
      </c>
      <c r="F33" s="54" t="s">
        <v>68</v>
      </c>
      <c r="G33" s="53">
        <v>39870</v>
      </c>
      <c r="H33">
        <v>4100</v>
      </c>
      <c r="I33">
        <v>862.38532</v>
      </c>
      <c r="J33">
        <v>150</v>
      </c>
      <c r="K33">
        <v>400</v>
      </c>
      <c r="L33">
        <v>2645.5</v>
      </c>
      <c r="M33">
        <v>880</v>
      </c>
      <c r="N33">
        <v>7600</v>
      </c>
      <c r="O33">
        <v>5500</v>
      </c>
      <c r="P33">
        <v>6000</v>
      </c>
      <c r="Q33" s="52">
        <f t="shared" si="1"/>
        <v>1336.5261054621055</v>
      </c>
      <c r="R33" s="52">
        <f t="shared" si="2"/>
        <v>2763.4738945378945</v>
      </c>
      <c r="S33" s="52">
        <f t="shared" si="3"/>
        <v>2763.473894537895</v>
      </c>
      <c r="T33">
        <v>-1239.4</v>
      </c>
      <c r="U33">
        <v>352.6</v>
      </c>
      <c r="V33" s="54">
        <v>1535</v>
      </c>
      <c r="W33" s="54">
        <v>983</v>
      </c>
      <c r="X33" t="s">
        <v>401</v>
      </c>
      <c r="Y33" t="s">
        <v>401</v>
      </c>
      <c r="Z33" t="s">
        <v>401</v>
      </c>
      <c r="AA33" t="s">
        <v>401</v>
      </c>
      <c r="AF33">
        <v>3303</v>
      </c>
      <c r="AG33">
        <f>VLOOKUP('Ballast Calculator'!$D$67,'Drop down Options'!$CS$289:$CV$293,4,FALSE)*Platforms!T33/Platforms!L33</f>
        <v>-290.4660744660745</v>
      </c>
      <c r="AH33">
        <f>VLOOKUP('Ballast Calculator'!$D$67,'Drop down Options'!$CS$289:$CV$293,4,FALSE)+(VLOOKUP('Ballast Calculator'!$D$67,'Drop down Options'!$CS$289:$CV$293,4,FALSE)*T33)/L33</f>
        <v>329.5339255339255</v>
      </c>
      <c r="AI33">
        <f>VLOOKUP('Ballast Calculator'!$D$67,'Drop down Options'!$CS$289:$CV$293,4,FALSE)*(Platforms!L33+Platforms!T33)/Platforms!L33</f>
        <v>329.5339255339255</v>
      </c>
      <c r="AJ33">
        <v>-942.7</v>
      </c>
      <c r="AK33">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33">
        <f>IF(VLOOKUP('Ballast Calculator'!$D$50,'Drop down Options'!$AN$202:$AQ$210,4,FALSE)="",0,Platforms!AK33)</f>
        <v>2494.5318654318653</v>
      </c>
      <c r="AM33">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33">
        <f>IF(VLOOKUP('Ballast Calculator'!$D$50,'Drop down Options'!$AN$202:$AQ$210,4,FALSE)="",0,Platforms!AM33)</f>
        <v>-1106.2318654318653</v>
      </c>
      <c r="AO33">
        <f>VLOOKUP('Ballast Calculator'!$D$54,'Drop down Options'!$CN$277:$CR$280,5,FALSE)*Platforms!AJ33/Platforms!L33</f>
        <v>0</v>
      </c>
      <c r="AP33" s="167">
        <f>VLOOKUP('Ballast Calculator'!$D$54,'Drop down Options'!$CN$277:$CR$280,5,FALSE)+VLOOKUP('Ballast Calculator'!$D$54,'Drop down Options'!$CN$277:$CR$280,5,FALSE)*Platforms!AJ33/Platforms!L33</f>
        <v>0</v>
      </c>
      <c r="AQ33" s="167">
        <f>VLOOKUP('Ballast Calculator'!$D$54,'Drop down Options'!$CN$277:$CR$280,5,FALSE)*(Platforms!AJ33+Platforms!L33)/Platforms!L33</f>
        <v>0</v>
      </c>
      <c r="AR33">
        <f>VLOOKUP('Ballast Calculator'!$D$61,'Drop down Options'!$BW$215:$BZ$248,4,FALSE)*(Platforms!L33+Platforms!AF33)/Platforms!L33</f>
        <v>0</v>
      </c>
      <c r="AS33" s="167">
        <f>-AR33+VLOOKUP('Ballast Calculator'!$D$61,'Drop down Options'!$BW$215:$BZ$248,4,FALSE)</f>
        <v>0</v>
      </c>
      <c r="AT33" s="167">
        <f>-VLOOKUP('Ballast Calculator'!$D$61,'Drop down Options'!$BW$215:$BZ$248,4,FALSE)*Platforms!AF33/Platforms!L33</f>
        <v>0</v>
      </c>
      <c r="AU33">
        <v>0</v>
      </c>
      <c r="AV33">
        <f>VLOOKUP('Ballast Calculator'!$D$64,'Drop down Options'!$CF$253:$CI$272,4,FALSE)</f>
        <v>77</v>
      </c>
      <c r="AW33">
        <f>VLOOKUP('Ballast Calculator'!$D$67,'Drop down Options'!$CS$289:$CV$293,4,FALSE)*Platforms!AZ33/Platforms!L33</f>
        <v>-290.3957663957664</v>
      </c>
      <c r="AX33">
        <f>AW33+VLOOKUP('Ballast Calculator'!$D$67,'Drop down Options'!$CS$289:$CV$293,4,FALSE)</f>
        <v>329.6042336042336</v>
      </c>
      <c r="AY33">
        <f>VLOOKUP('Ballast Calculator'!$D$67,'Drop down Options'!$CS$289:$CV$293,4,FALSE)*(Platforms!AZ33+Platforms!L33)/Platforms!L33</f>
        <v>329.6042336042336</v>
      </c>
      <c r="AZ33">
        <f t="shared" si="4"/>
        <v>-1239.1</v>
      </c>
    </row>
    <row r="34" spans="1:52" ht="12.75">
      <c r="A34" s="52" t="str">
        <f t="shared" si="0"/>
        <v>6230OOSMFWDPQ</v>
      </c>
      <c r="B34">
        <v>32</v>
      </c>
      <c r="C34">
        <v>6230</v>
      </c>
      <c r="D34" t="s">
        <v>63</v>
      </c>
      <c r="E34" t="s">
        <v>64</v>
      </c>
      <c r="F34" s="54" t="s">
        <v>70</v>
      </c>
      <c r="G34" s="53">
        <v>39870</v>
      </c>
      <c r="H34">
        <v>4100</v>
      </c>
      <c r="I34">
        <v>862.38532</v>
      </c>
      <c r="J34">
        <v>150</v>
      </c>
      <c r="K34">
        <v>400</v>
      </c>
      <c r="L34">
        <v>2645.5</v>
      </c>
      <c r="M34">
        <v>880</v>
      </c>
      <c r="N34">
        <v>7600</v>
      </c>
      <c r="O34">
        <v>5500</v>
      </c>
      <c r="P34">
        <v>6000</v>
      </c>
      <c r="Q34" s="52">
        <f t="shared" si="1"/>
        <v>1336.5261054621055</v>
      </c>
      <c r="R34" s="52">
        <f t="shared" si="2"/>
        <v>2763.4738945378945</v>
      </c>
      <c r="S34" s="52">
        <f t="shared" si="3"/>
        <v>2763.473894537895</v>
      </c>
      <c r="T34">
        <v>-1239.4</v>
      </c>
      <c r="U34">
        <v>352.6</v>
      </c>
      <c r="V34" s="54">
        <v>1535</v>
      </c>
      <c r="W34" s="54">
        <v>983</v>
      </c>
      <c r="X34" t="s">
        <v>401</v>
      </c>
      <c r="Y34" t="s">
        <v>401</v>
      </c>
      <c r="Z34" t="s">
        <v>401</v>
      </c>
      <c r="AA34" t="s">
        <v>401</v>
      </c>
      <c r="AF34">
        <v>3303</v>
      </c>
      <c r="AG34">
        <f>VLOOKUP('Ballast Calculator'!$D$67,'Drop down Options'!$CS$289:$CV$293,4,FALSE)*Platforms!T34/Platforms!L34</f>
        <v>-290.4660744660745</v>
      </c>
      <c r="AH34">
        <f>VLOOKUP('Ballast Calculator'!$D$67,'Drop down Options'!$CS$289:$CV$293,4,FALSE)+(VLOOKUP('Ballast Calculator'!$D$67,'Drop down Options'!$CS$289:$CV$293,4,FALSE)*T34)/L34</f>
        <v>329.5339255339255</v>
      </c>
      <c r="AI34">
        <f>VLOOKUP('Ballast Calculator'!$D$67,'Drop down Options'!$CS$289:$CV$293,4,FALSE)*(Platforms!L34+Platforms!T34)/Platforms!L34</f>
        <v>329.5339255339255</v>
      </c>
      <c r="AJ34">
        <v>-942.7</v>
      </c>
      <c r="AK34">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34">
        <f>IF(VLOOKUP('Ballast Calculator'!$D$50,'Drop down Options'!$AN$202:$AQ$210,4,FALSE)="",0,Platforms!AK34)</f>
        <v>2494.5318654318653</v>
      </c>
      <c r="AM34">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34">
        <f>IF(VLOOKUP('Ballast Calculator'!$D$50,'Drop down Options'!$AN$202:$AQ$210,4,FALSE)="",0,Platforms!AM34)</f>
        <v>-1106.2318654318653</v>
      </c>
      <c r="AO34">
        <f>VLOOKUP('Ballast Calculator'!$D$54,'Drop down Options'!$CN$277:$CR$280,5,FALSE)*Platforms!AJ34/Platforms!L34</f>
        <v>0</v>
      </c>
      <c r="AP34" s="167">
        <f>VLOOKUP('Ballast Calculator'!$D$54,'Drop down Options'!$CN$277:$CR$280,5,FALSE)+VLOOKUP('Ballast Calculator'!$D$54,'Drop down Options'!$CN$277:$CR$280,5,FALSE)*Platforms!AJ34/Platforms!L34</f>
        <v>0</v>
      </c>
      <c r="AQ34" s="167">
        <f>VLOOKUP('Ballast Calculator'!$D$54,'Drop down Options'!$CN$277:$CR$280,5,FALSE)*(Platforms!AJ34+Platforms!L34)/Platforms!L34</f>
        <v>0</v>
      </c>
      <c r="AR34">
        <f>VLOOKUP('Ballast Calculator'!$D$61,'Drop down Options'!$BW$215:$BZ$248,4,FALSE)*(Platforms!L34+Platforms!AF34)/Platforms!L34</f>
        <v>0</v>
      </c>
      <c r="AS34" s="167">
        <f>-AR34+VLOOKUP('Ballast Calculator'!$D$61,'Drop down Options'!$BW$215:$BZ$248,4,FALSE)</f>
        <v>0</v>
      </c>
      <c r="AT34" s="167">
        <f>-VLOOKUP('Ballast Calculator'!$D$61,'Drop down Options'!$BW$215:$BZ$248,4,FALSE)*Platforms!AF34/Platforms!L34</f>
        <v>0</v>
      </c>
      <c r="AU34">
        <v>0</v>
      </c>
      <c r="AV34">
        <f>VLOOKUP('Ballast Calculator'!$D$64,'Drop down Options'!$CF$253:$CI$272,4,FALSE)</f>
        <v>77</v>
      </c>
      <c r="AW34">
        <f>VLOOKUP('Ballast Calculator'!$D$67,'Drop down Options'!$CS$289:$CV$293,4,FALSE)*Platforms!AZ34/Platforms!L34</f>
        <v>-290.3957663957664</v>
      </c>
      <c r="AX34">
        <f>AW34+VLOOKUP('Ballast Calculator'!$D$67,'Drop down Options'!$CS$289:$CV$293,4,FALSE)</f>
        <v>329.6042336042336</v>
      </c>
      <c r="AY34">
        <f>VLOOKUP('Ballast Calculator'!$D$67,'Drop down Options'!$CS$289:$CV$293,4,FALSE)*(Platforms!AZ34+Platforms!L34)/Platforms!L34</f>
        <v>329.6042336042336</v>
      </c>
      <c r="AZ34">
        <f t="shared" si="4"/>
        <v>-1239.1</v>
      </c>
    </row>
    <row r="35" spans="1:52" ht="12.75">
      <c r="A35" s="52" t="str">
        <f aca="true" t="shared" si="5" ref="A35:A66">CONCATENATE(C35,D35,E35,F35)</f>
        <v>6230PremiumMFWDPQ+</v>
      </c>
      <c r="B35">
        <v>33</v>
      </c>
      <c r="C35">
        <v>6230</v>
      </c>
      <c r="D35" t="s">
        <v>71</v>
      </c>
      <c r="E35" t="s">
        <v>64</v>
      </c>
      <c r="F35" s="54" t="s">
        <v>69</v>
      </c>
      <c r="G35" s="53">
        <v>39870</v>
      </c>
      <c r="H35">
        <v>4400</v>
      </c>
      <c r="I35">
        <v>862.38532</v>
      </c>
      <c r="J35">
        <v>150</v>
      </c>
      <c r="K35">
        <v>400</v>
      </c>
      <c r="L35">
        <v>2645.5</v>
      </c>
      <c r="M35">
        <v>880</v>
      </c>
      <c r="N35">
        <v>8000</v>
      </c>
      <c r="O35">
        <v>5500</v>
      </c>
      <c r="P35">
        <v>6000</v>
      </c>
      <c r="Q35" s="52">
        <f t="shared" si="1"/>
        <v>1434.3206985446984</v>
      </c>
      <c r="R35" s="52">
        <f t="shared" si="2"/>
        <v>2965.6793014553014</v>
      </c>
      <c r="S35" s="52">
        <f t="shared" si="3"/>
        <v>2965.6793014553014</v>
      </c>
      <c r="T35">
        <v>-1239.4</v>
      </c>
      <c r="U35">
        <v>352.6</v>
      </c>
      <c r="V35" s="54">
        <v>1535</v>
      </c>
      <c r="W35" s="54">
        <v>983</v>
      </c>
      <c r="X35" t="s">
        <v>401</v>
      </c>
      <c r="Y35" t="s">
        <v>401</v>
      </c>
      <c r="Z35" t="s">
        <v>401</v>
      </c>
      <c r="AA35" t="s">
        <v>401</v>
      </c>
      <c r="AF35">
        <v>3303</v>
      </c>
      <c r="AG35">
        <f>VLOOKUP('Ballast Calculator'!$D$67,'Drop down Options'!$CS$289:$CV$293,4,FALSE)*Platforms!T35/Platforms!L35</f>
        <v>-290.4660744660745</v>
      </c>
      <c r="AH35">
        <f>VLOOKUP('Ballast Calculator'!$D$67,'Drop down Options'!$CS$289:$CV$293,4,FALSE)+(VLOOKUP('Ballast Calculator'!$D$67,'Drop down Options'!$CS$289:$CV$293,4,FALSE)*T35)/L35</f>
        <v>329.5339255339255</v>
      </c>
      <c r="AI35">
        <f>VLOOKUP('Ballast Calculator'!$D$67,'Drop down Options'!$CS$289:$CV$293,4,FALSE)*(Platforms!L35+Platforms!T35)/Platforms!L35</f>
        <v>329.5339255339255</v>
      </c>
      <c r="AJ35">
        <v>-942.7</v>
      </c>
      <c r="AK35">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35">
        <f>IF(VLOOKUP('Ballast Calculator'!$D$50,'Drop down Options'!$AN$202:$AQ$210,4,FALSE)="",0,Platforms!AK35)</f>
        <v>2494.5318654318653</v>
      </c>
      <c r="AM35">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35">
        <f>IF(VLOOKUP('Ballast Calculator'!$D$50,'Drop down Options'!$AN$202:$AQ$210,4,FALSE)="",0,Platforms!AM35)</f>
        <v>-1106.2318654318653</v>
      </c>
      <c r="AO35">
        <f>VLOOKUP('Ballast Calculator'!$D$54,'Drop down Options'!$CN$277:$CR$280,5,FALSE)*Platforms!AJ35/Platforms!L35</f>
        <v>0</v>
      </c>
      <c r="AP35" s="167">
        <f>VLOOKUP('Ballast Calculator'!$D$54,'Drop down Options'!$CN$277:$CR$280,5,FALSE)+VLOOKUP('Ballast Calculator'!$D$54,'Drop down Options'!$CN$277:$CR$280,5,FALSE)*Platforms!AJ35/Platforms!L35</f>
        <v>0</v>
      </c>
      <c r="AQ35" s="167">
        <f>VLOOKUP('Ballast Calculator'!$D$54,'Drop down Options'!$CN$277:$CR$280,5,FALSE)*(Platforms!AJ35+Platforms!L35)/Platforms!L35</f>
        <v>0</v>
      </c>
      <c r="AR35">
        <f>VLOOKUP('Ballast Calculator'!$D$61,'Drop down Options'!$BW$215:$BZ$248,4,FALSE)*(Platforms!L35+Platforms!AF35)/Platforms!L35</f>
        <v>0</v>
      </c>
      <c r="AS35" s="167">
        <f>-AR35+VLOOKUP('Ballast Calculator'!$D$61,'Drop down Options'!$BW$215:$BZ$248,4,FALSE)</f>
        <v>0</v>
      </c>
      <c r="AT35" s="167">
        <f>-VLOOKUP('Ballast Calculator'!$D$61,'Drop down Options'!$BW$215:$BZ$248,4,FALSE)*Platforms!AF35/Platforms!L35</f>
        <v>0</v>
      </c>
      <c r="AU35">
        <v>0</v>
      </c>
      <c r="AV35">
        <f>VLOOKUP('Ballast Calculator'!$D$64,'Drop down Options'!$CF$253:$CI$272,4,FALSE)</f>
        <v>77</v>
      </c>
      <c r="AW35">
        <f>VLOOKUP('Ballast Calculator'!$D$67,'Drop down Options'!$CS$289:$CV$293,4,FALSE)*Platforms!AZ35/Platforms!L35</f>
        <v>-290.3957663957664</v>
      </c>
      <c r="AX35">
        <f>AW35+VLOOKUP('Ballast Calculator'!$D$67,'Drop down Options'!$CS$289:$CV$293,4,FALSE)</f>
        <v>329.6042336042336</v>
      </c>
      <c r="AY35">
        <f>VLOOKUP('Ballast Calculator'!$D$67,'Drop down Options'!$CS$289:$CV$293,4,FALSE)*(Platforms!AZ35+Platforms!L35)/Platforms!L35</f>
        <v>329.6042336042336</v>
      </c>
      <c r="AZ35">
        <f t="shared" si="4"/>
        <v>-1239.1</v>
      </c>
    </row>
    <row r="36" spans="1:52" ht="12.75">
      <c r="A36" s="52" t="str">
        <f t="shared" si="5"/>
        <v>6230PremiumMFWDAQ+</v>
      </c>
      <c r="B36">
        <v>34</v>
      </c>
      <c r="C36">
        <v>6230</v>
      </c>
      <c r="D36" t="s">
        <v>71</v>
      </c>
      <c r="E36" t="s">
        <v>64</v>
      </c>
      <c r="F36" s="54" t="s">
        <v>72</v>
      </c>
      <c r="G36" s="53">
        <v>39870</v>
      </c>
      <c r="H36">
        <v>4400</v>
      </c>
      <c r="I36">
        <v>862.38532</v>
      </c>
      <c r="J36">
        <v>150</v>
      </c>
      <c r="K36">
        <v>400</v>
      </c>
      <c r="L36">
        <v>2645.5</v>
      </c>
      <c r="M36">
        <v>880</v>
      </c>
      <c r="N36">
        <v>8000</v>
      </c>
      <c r="O36">
        <v>5500</v>
      </c>
      <c r="P36">
        <v>6000</v>
      </c>
      <c r="Q36" s="52">
        <f t="shared" si="1"/>
        <v>1434.3206985446984</v>
      </c>
      <c r="R36" s="52">
        <f t="shared" si="2"/>
        <v>2965.6793014553014</v>
      </c>
      <c r="S36" s="52">
        <f t="shared" si="3"/>
        <v>2965.6793014553014</v>
      </c>
      <c r="T36">
        <v>-1239.4</v>
      </c>
      <c r="U36">
        <v>352.6</v>
      </c>
      <c r="V36" s="54">
        <v>1535</v>
      </c>
      <c r="W36" s="54">
        <v>983</v>
      </c>
      <c r="X36" t="s">
        <v>401</v>
      </c>
      <c r="Y36" t="s">
        <v>401</v>
      </c>
      <c r="Z36" t="s">
        <v>401</v>
      </c>
      <c r="AA36" t="s">
        <v>401</v>
      </c>
      <c r="AF36">
        <v>3303</v>
      </c>
      <c r="AG36">
        <f>VLOOKUP('Ballast Calculator'!$D$67,'Drop down Options'!$CS$289:$CV$293,4,FALSE)*Platforms!T36/Platforms!L36</f>
        <v>-290.4660744660745</v>
      </c>
      <c r="AH36">
        <f>VLOOKUP('Ballast Calculator'!$D$67,'Drop down Options'!$CS$289:$CV$293,4,FALSE)+(VLOOKUP('Ballast Calculator'!$D$67,'Drop down Options'!$CS$289:$CV$293,4,FALSE)*T36)/L36</f>
        <v>329.5339255339255</v>
      </c>
      <c r="AI36">
        <f>VLOOKUP('Ballast Calculator'!$D$67,'Drop down Options'!$CS$289:$CV$293,4,FALSE)*(Platforms!L36+Platforms!T36)/Platforms!L36</f>
        <v>329.5339255339255</v>
      </c>
      <c r="AJ36">
        <v>-942.7</v>
      </c>
      <c r="AK36">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36">
        <f>IF(VLOOKUP('Ballast Calculator'!$D$50,'Drop down Options'!$AN$202:$AQ$210,4,FALSE)="",0,Platforms!AK36)</f>
        <v>2494.5318654318653</v>
      </c>
      <c r="AM36">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36">
        <f>IF(VLOOKUP('Ballast Calculator'!$D$50,'Drop down Options'!$AN$202:$AQ$210,4,FALSE)="",0,Platforms!AM36)</f>
        <v>-1106.2318654318653</v>
      </c>
      <c r="AO36">
        <f>VLOOKUP('Ballast Calculator'!$D$54,'Drop down Options'!$CN$277:$CR$280,5,FALSE)*Platforms!AJ36/Platforms!L36</f>
        <v>0</v>
      </c>
      <c r="AP36" s="167">
        <f>VLOOKUP('Ballast Calculator'!$D$54,'Drop down Options'!$CN$277:$CR$280,5,FALSE)+VLOOKUP('Ballast Calculator'!$D$54,'Drop down Options'!$CN$277:$CR$280,5,FALSE)*Platforms!AJ36/Platforms!L36</f>
        <v>0</v>
      </c>
      <c r="AQ36" s="167">
        <f>VLOOKUP('Ballast Calculator'!$D$54,'Drop down Options'!$CN$277:$CR$280,5,FALSE)*(Platforms!AJ36+Platforms!L36)/Platforms!L36</f>
        <v>0</v>
      </c>
      <c r="AR36">
        <f>VLOOKUP('Ballast Calculator'!$D$61,'Drop down Options'!$BW$215:$BZ$248,4,FALSE)*(Platforms!L36+Platforms!AF36)/Platforms!L36</f>
        <v>0</v>
      </c>
      <c r="AS36" s="167">
        <f>-AR36+VLOOKUP('Ballast Calculator'!$D$61,'Drop down Options'!$BW$215:$BZ$248,4,FALSE)</f>
        <v>0</v>
      </c>
      <c r="AT36" s="167">
        <f>-VLOOKUP('Ballast Calculator'!$D$61,'Drop down Options'!$BW$215:$BZ$248,4,FALSE)*Platforms!AF36/Platforms!L36</f>
        <v>0</v>
      </c>
      <c r="AU36">
        <v>0</v>
      </c>
      <c r="AV36">
        <f>VLOOKUP('Ballast Calculator'!$D$64,'Drop down Options'!$CF$253:$CI$272,4,FALSE)</f>
        <v>77</v>
      </c>
      <c r="AW36">
        <f>VLOOKUP('Ballast Calculator'!$D$67,'Drop down Options'!$CS$289:$CV$293,4,FALSE)*Platforms!AZ36/Platforms!L36</f>
        <v>-290.3957663957664</v>
      </c>
      <c r="AX36">
        <f>AW36+VLOOKUP('Ballast Calculator'!$D$67,'Drop down Options'!$CS$289:$CV$293,4,FALSE)</f>
        <v>329.6042336042336</v>
      </c>
      <c r="AY36">
        <f>VLOOKUP('Ballast Calculator'!$D$67,'Drop down Options'!$CS$289:$CV$293,4,FALSE)*(Platforms!AZ36+Platforms!L36)/Platforms!L36</f>
        <v>329.6042336042336</v>
      </c>
      <c r="AZ36">
        <f t="shared" si="4"/>
        <v>-1239.1</v>
      </c>
    </row>
    <row r="37" spans="1:52" ht="12.75">
      <c r="A37" s="52" t="str">
        <f t="shared" si="5"/>
        <v>6230PremiumMFWD TLSPQ+</v>
      </c>
      <c r="B37">
        <v>35</v>
      </c>
      <c r="C37">
        <v>6230</v>
      </c>
      <c r="D37" t="s">
        <v>71</v>
      </c>
      <c r="E37" t="s">
        <v>73</v>
      </c>
      <c r="F37" s="54" t="s">
        <v>69</v>
      </c>
      <c r="G37" s="53">
        <v>39870</v>
      </c>
      <c r="H37">
        <v>4400</v>
      </c>
      <c r="I37">
        <v>862.38532</v>
      </c>
      <c r="J37">
        <v>150</v>
      </c>
      <c r="K37" s="54">
        <v>450</v>
      </c>
      <c r="L37" s="54">
        <v>2645.5</v>
      </c>
      <c r="M37">
        <v>880</v>
      </c>
      <c r="N37">
        <v>8000</v>
      </c>
      <c r="O37">
        <v>5500</v>
      </c>
      <c r="P37">
        <v>6000</v>
      </c>
      <c r="Q37" s="52">
        <f t="shared" si="1"/>
        <v>1434.3206985446984</v>
      </c>
      <c r="R37" s="52">
        <f t="shared" si="2"/>
        <v>2965.6793014553014</v>
      </c>
      <c r="S37" s="52">
        <f t="shared" si="3"/>
        <v>2965.6793014553014</v>
      </c>
      <c r="T37">
        <v>-1239.4</v>
      </c>
      <c r="U37">
        <v>352.6</v>
      </c>
      <c r="V37" s="54">
        <v>1535</v>
      </c>
      <c r="W37" s="54">
        <v>983</v>
      </c>
      <c r="X37" t="s">
        <v>401</v>
      </c>
      <c r="Y37" t="s">
        <v>401</v>
      </c>
      <c r="Z37" t="s">
        <v>401</v>
      </c>
      <c r="AA37" t="s">
        <v>401</v>
      </c>
      <c r="AF37">
        <v>3303</v>
      </c>
      <c r="AG37">
        <f>VLOOKUP('Ballast Calculator'!$D$67,'Drop down Options'!$CS$289:$CV$293,4,FALSE)*Platforms!T37/Platforms!L37</f>
        <v>-290.4660744660745</v>
      </c>
      <c r="AH37">
        <f>VLOOKUP('Ballast Calculator'!$D$67,'Drop down Options'!$CS$289:$CV$293,4,FALSE)+(VLOOKUP('Ballast Calculator'!$D$67,'Drop down Options'!$CS$289:$CV$293,4,FALSE)*T37)/L37</f>
        <v>329.5339255339255</v>
      </c>
      <c r="AI37">
        <f>VLOOKUP('Ballast Calculator'!$D$67,'Drop down Options'!$CS$289:$CV$293,4,FALSE)*(Platforms!L37+Platforms!T37)/Platforms!L37</f>
        <v>329.5339255339255</v>
      </c>
      <c r="AJ37">
        <v>-942.7</v>
      </c>
      <c r="AK37">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37">
        <f>IF(VLOOKUP('Ballast Calculator'!$D$50,'Drop down Options'!$AN$202:$AQ$210,4,FALSE)="",0,Platforms!AK37)</f>
        <v>2494.5318654318653</v>
      </c>
      <c r="AM37">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37">
        <f>IF(VLOOKUP('Ballast Calculator'!$D$50,'Drop down Options'!$AN$202:$AQ$210,4,FALSE)="",0,Platforms!AM37)</f>
        <v>-1106.2318654318653</v>
      </c>
      <c r="AO37">
        <f>VLOOKUP('Ballast Calculator'!$D$54,'Drop down Options'!$CN$277:$CR$280,5,FALSE)*Platforms!AJ37/Platforms!L37</f>
        <v>0</v>
      </c>
      <c r="AP37" s="167">
        <f>VLOOKUP('Ballast Calculator'!$D$54,'Drop down Options'!$CN$277:$CR$280,5,FALSE)+VLOOKUP('Ballast Calculator'!$D$54,'Drop down Options'!$CN$277:$CR$280,5,FALSE)*Platforms!AJ37/Platforms!L37</f>
        <v>0</v>
      </c>
      <c r="AQ37" s="167">
        <f>VLOOKUP('Ballast Calculator'!$D$54,'Drop down Options'!$CN$277:$CR$280,5,FALSE)*(Platforms!AJ37+Platforms!L37)/Platforms!L37</f>
        <v>0</v>
      </c>
      <c r="AR37">
        <f>VLOOKUP('Ballast Calculator'!$D$61,'Drop down Options'!$BW$215:$BZ$248,4,FALSE)*(Platforms!L37+Platforms!AF37)/Platforms!L37</f>
        <v>0</v>
      </c>
      <c r="AS37" s="167">
        <f>-AR37+VLOOKUP('Ballast Calculator'!$D$61,'Drop down Options'!$BW$215:$BZ$248,4,FALSE)</f>
        <v>0</v>
      </c>
      <c r="AT37" s="167">
        <f>-VLOOKUP('Ballast Calculator'!$D$61,'Drop down Options'!$BW$215:$BZ$248,4,FALSE)*Platforms!AF37/Platforms!L37</f>
        <v>0</v>
      </c>
      <c r="AU37">
        <v>0</v>
      </c>
      <c r="AV37">
        <f>VLOOKUP('Ballast Calculator'!$D$64,'Drop down Options'!$CF$253:$CI$272,4,FALSE)</f>
        <v>77</v>
      </c>
      <c r="AW37">
        <f>VLOOKUP('Ballast Calculator'!$D$67,'Drop down Options'!$CS$289:$CV$293,4,FALSE)*Platforms!AZ37/Platforms!L37</f>
        <v>-290.3957663957664</v>
      </c>
      <c r="AX37">
        <f>AW37+VLOOKUP('Ballast Calculator'!$D$67,'Drop down Options'!$CS$289:$CV$293,4,FALSE)</f>
        <v>329.6042336042336</v>
      </c>
      <c r="AY37">
        <f>VLOOKUP('Ballast Calculator'!$D$67,'Drop down Options'!$CS$289:$CV$293,4,FALSE)*(Platforms!AZ37+Platforms!L37)/Platforms!L37</f>
        <v>329.6042336042336</v>
      </c>
      <c r="AZ37">
        <f t="shared" si="4"/>
        <v>-1239.1</v>
      </c>
    </row>
    <row r="38" spans="1:52" ht="12.75">
      <c r="A38" s="52" t="str">
        <f t="shared" si="5"/>
        <v>6230PremiumMFWD TLSAQ+</v>
      </c>
      <c r="B38">
        <v>36</v>
      </c>
      <c r="C38">
        <v>6230</v>
      </c>
      <c r="D38" t="s">
        <v>71</v>
      </c>
      <c r="E38" t="s">
        <v>73</v>
      </c>
      <c r="F38" s="54" t="s">
        <v>72</v>
      </c>
      <c r="G38" s="53">
        <v>39870</v>
      </c>
      <c r="H38">
        <v>4400</v>
      </c>
      <c r="I38">
        <v>862.38532</v>
      </c>
      <c r="J38">
        <v>150</v>
      </c>
      <c r="K38" s="54">
        <v>450</v>
      </c>
      <c r="L38" s="54">
        <v>2645.5</v>
      </c>
      <c r="M38">
        <v>880</v>
      </c>
      <c r="N38">
        <v>8000</v>
      </c>
      <c r="O38">
        <v>5500</v>
      </c>
      <c r="P38">
        <v>6000</v>
      </c>
      <c r="Q38" s="52">
        <f t="shared" si="1"/>
        <v>1434.3206985446984</v>
      </c>
      <c r="R38" s="52">
        <f t="shared" si="2"/>
        <v>2965.6793014553014</v>
      </c>
      <c r="S38" s="52">
        <f t="shared" si="3"/>
        <v>2965.6793014553014</v>
      </c>
      <c r="T38">
        <v>-1239.4</v>
      </c>
      <c r="U38">
        <v>352.6</v>
      </c>
      <c r="V38" s="54">
        <v>1535</v>
      </c>
      <c r="W38" s="54">
        <v>983</v>
      </c>
      <c r="X38" t="s">
        <v>401</v>
      </c>
      <c r="Y38" t="s">
        <v>401</v>
      </c>
      <c r="Z38" t="s">
        <v>401</v>
      </c>
      <c r="AA38" t="s">
        <v>401</v>
      </c>
      <c r="AF38">
        <v>3303</v>
      </c>
      <c r="AG38">
        <f>VLOOKUP('Ballast Calculator'!$D$67,'Drop down Options'!$CS$289:$CV$293,4,FALSE)*Platforms!T38/Platforms!L38</f>
        <v>-290.4660744660745</v>
      </c>
      <c r="AH38">
        <f>VLOOKUP('Ballast Calculator'!$D$67,'Drop down Options'!$CS$289:$CV$293,4,FALSE)+(VLOOKUP('Ballast Calculator'!$D$67,'Drop down Options'!$CS$289:$CV$293,4,FALSE)*T38)/L38</f>
        <v>329.5339255339255</v>
      </c>
      <c r="AI38">
        <f>VLOOKUP('Ballast Calculator'!$D$67,'Drop down Options'!$CS$289:$CV$293,4,FALSE)*(Platforms!L38+Platforms!T38)/Platforms!L38</f>
        <v>329.5339255339255</v>
      </c>
      <c r="AJ38">
        <v>-942.7</v>
      </c>
      <c r="AK38">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38">
        <f>IF(VLOOKUP('Ballast Calculator'!$D$50,'Drop down Options'!$AN$202:$AQ$210,4,FALSE)="",0,Platforms!AK38)</f>
        <v>2494.5318654318653</v>
      </c>
      <c r="AM38">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38">
        <f>IF(VLOOKUP('Ballast Calculator'!$D$50,'Drop down Options'!$AN$202:$AQ$210,4,FALSE)="",0,Platforms!AM38)</f>
        <v>-1106.2318654318653</v>
      </c>
      <c r="AO38">
        <f>VLOOKUP('Ballast Calculator'!$D$54,'Drop down Options'!$CN$277:$CR$280,5,FALSE)*Platforms!AJ38/Platforms!L38</f>
        <v>0</v>
      </c>
      <c r="AP38" s="167">
        <f>VLOOKUP('Ballast Calculator'!$D$54,'Drop down Options'!$CN$277:$CR$280,5,FALSE)+VLOOKUP('Ballast Calculator'!$D$54,'Drop down Options'!$CN$277:$CR$280,5,FALSE)*Platforms!AJ38/Platforms!L38</f>
        <v>0</v>
      </c>
      <c r="AQ38" s="167">
        <f>VLOOKUP('Ballast Calculator'!$D$54,'Drop down Options'!$CN$277:$CR$280,5,FALSE)*(Platforms!AJ38+Platforms!L38)/Platforms!L38</f>
        <v>0</v>
      </c>
      <c r="AR38">
        <f>VLOOKUP('Ballast Calculator'!$D$61,'Drop down Options'!$BW$215:$BZ$248,4,FALSE)*(Platforms!L38+Platforms!AF38)/Platforms!L38</f>
        <v>0</v>
      </c>
      <c r="AS38" s="167">
        <f>-AR38+VLOOKUP('Ballast Calculator'!$D$61,'Drop down Options'!$BW$215:$BZ$248,4,FALSE)</f>
        <v>0</v>
      </c>
      <c r="AT38" s="167">
        <f>-VLOOKUP('Ballast Calculator'!$D$61,'Drop down Options'!$BW$215:$BZ$248,4,FALSE)*Platforms!AF38/Platforms!L38</f>
        <v>0</v>
      </c>
      <c r="AU38">
        <v>0</v>
      </c>
      <c r="AV38">
        <f>VLOOKUP('Ballast Calculator'!$D$64,'Drop down Options'!$CF$253:$CI$272,4,FALSE)</f>
        <v>77</v>
      </c>
      <c r="AW38">
        <f>VLOOKUP('Ballast Calculator'!$D$67,'Drop down Options'!$CS$289:$CV$293,4,FALSE)*Platforms!AZ38/Platforms!L38</f>
        <v>-290.3957663957664</v>
      </c>
      <c r="AX38">
        <f>AW38+VLOOKUP('Ballast Calculator'!$D$67,'Drop down Options'!$CS$289:$CV$293,4,FALSE)</f>
        <v>329.6042336042336</v>
      </c>
      <c r="AY38">
        <f>VLOOKUP('Ballast Calculator'!$D$67,'Drop down Options'!$CS$289:$CV$293,4,FALSE)*(Platforms!AZ38+Platforms!L38)/Platforms!L38</f>
        <v>329.6042336042336</v>
      </c>
      <c r="AZ38">
        <f t="shared" si="4"/>
        <v>-1239.1</v>
      </c>
    </row>
    <row r="39" spans="1:52" ht="12.75">
      <c r="A39" s="52" t="str">
        <f t="shared" si="5"/>
        <v>6330CAB2WDS+</v>
      </c>
      <c r="B39">
        <v>37</v>
      </c>
      <c r="C39">
        <v>6330</v>
      </c>
      <c r="D39" t="s">
        <v>60</v>
      </c>
      <c r="E39" t="s">
        <v>6</v>
      </c>
      <c r="F39" t="s">
        <v>68</v>
      </c>
      <c r="G39" s="53">
        <v>39870</v>
      </c>
      <c r="H39">
        <v>4400</v>
      </c>
      <c r="I39">
        <v>862.38532</v>
      </c>
      <c r="J39">
        <v>744</v>
      </c>
      <c r="K39">
        <v>272.9</v>
      </c>
      <c r="L39">
        <v>2710</v>
      </c>
      <c r="M39">
        <v>880</v>
      </c>
      <c r="N39">
        <v>8200</v>
      </c>
      <c r="O39">
        <v>5000</v>
      </c>
      <c r="P39">
        <v>6500</v>
      </c>
      <c r="Q39" s="52">
        <f t="shared" si="1"/>
        <v>1400.1828073800737</v>
      </c>
      <c r="R39" s="52">
        <f t="shared" si="2"/>
        <v>2999.8171926199266</v>
      </c>
      <c r="S39" s="52">
        <f t="shared" si="3"/>
        <v>2999.817192619926</v>
      </c>
      <c r="T39">
        <v>-1239.4</v>
      </c>
      <c r="U39">
        <v>352.6</v>
      </c>
      <c r="V39" s="54">
        <v>1535</v>
      </c>
      <c r="W39" s="54">
        <v>983</v>
      </c>
      <c r="X39" t="s">
        <v>401</v>
      </c>
      <c r="Y39" t="s">
        <v>401</v>
      </c>
      <c r="Z39" t="s">
        <v>401</v>
      </c>
      <c r="AF39">
        <v>3303</v>
      </c>
      <c r="AG39">
        <f>VLOOKUP('Ballast Calculator'!$D$67,'Drop down Options'!$CS$289:$CV$293,4,FALSE)*Platforms!T39/Platforms!L39</f>
        <v>-283.55276752767526</v>
      </c>
      <c r="AH39">
        <f>VLOOKUP('Ballast Calculator'!$D$67,'Drop down Options'!$CS$289:$CV$293,4,FALSE)+(VLOOKUP('Ballast Calculator'!$D$67,'Drop down Options'!$CS$289:$CV$293,4,FALSE)*T39)/L39</f>
        <v>336.44723247232474</v>
      </c>
      <c r="AI39">
        <f>VLOOKUP('Ballast Calculator'!$D$67,'Drop down Options'!$CS$289:$CV$293,4,FALSE)*(Platforms!L39+Platforms!T39)/Platforms!L39</f>
        <v>336.44723247232474</v>
      </c>
      <c r="AJ39">
        <v>-942.7</v>
      </c>
      <c r="AK39">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39">
        <f>IF(VLOOKUP('Ballast Calculator'!$D$50,'Drop down Options'!$AN$202:$AQ$210,4,FALSE)="",0,Platforms!AK39)</f>
        <v>2494.5318654318653</v>
      </c>
      <c r="AM39">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39">
        <f>IF(VLOOKUP('Ballast Calculator'!$D$50,'Drop down Options'!$AN$202:$AQ$210,4,FALSE)="",0,Platforms!AM39)</f>
        <v>-1106.2318654318653</v>
      </c>
      <c r="AO39">
        <f>VLOOKUP('Ballast Calculator'!$D$54,'Drop down Options'!$CN$277:$CR$280,5,FALSE)*Platforms!AJ39/Platforms!L39</f>
        <v>0</v>
      </c>
      <c r="AP39" s="167">
        <f>VLOOKUP('Ballast Calculator'!$D$54,'Drop down Options'!$CN$277:$CR$280,5,FALSE)+VLOOKUP('Ballast Calculator'!$D$54,'Drop down Options'!$CN$277:$CR$280,5,FALSE)*Platforms!AJ39/Platforms!L39</f>
        <v>0</v>
      </c>
      <c r="AQ39" s="167">
        <f>VLOOKUP('Ballast Calculator'!$D$54,'Drop down Options'!$CN$277:$CR$280,5,FALSE)*(Platforms!AJ39+Platforms!L39)/Platforms!L39</f>
        <v>0</v>
      </c>
      <c r="AR39">
        <f>VLOOKUP('Ballast Calculator'!$D$61,'Drop down Options'!$BW$215:$BZ$248,4,FALSE)*(Platforms!L39+Platforms!AF39)/Platforms!L39</f>
        <v>0</v>
      </c>
      <c r="AS39" s="167">
        <f>-AR39+VLOOKUP('Ballast Calculator'!$D$61,'Drop down Options'!$BW$215:$BZ$248,4,FALSE)</f>
        <v>0</v>
      </c>
      <c r="AT39" s="167">
        <f>-VLOOKUP('Ballast Calculator'!$D$61,'Drop down Options'!$BW$215:$BZ$248,4,FALSE)*Platforms!AF39/Platforms!L39</f>
        <v>0</v>
      </c>
      <c r="AU39">
        <v>0</v>
      </c>
      <c r="AV39">
        <f>VLOOKUP('Ballast Calculator'!$D$64,'Drop down Options'!$CF$253:$CI$272,4,FALSE)</f>
        <v>77</v>
      </c>
      <c r="AW39">
        <f>VLOOKUP('Ballast Calculator'!$D$67,'Drop down Options'!$CS$289:$CV$293,4,FALSE)*Platforms!AZ39/Platforms!L39</f>
        <v>-283.4841328413284</v>
      </c>
      <c r="AX39">
        <f>AW39+VLOOKUP('Ballast Calculator'!$D$67,'Drop down Options'!$CS$289:$CV$293,4,FALSE)</f>
        <v>336.5158671586716</v>
      </c>
      <c r="AY39">
        <f>VLOOKUP('Ballast Calculator'!$D$67,'Drop down Options'!$CS$289:$CV$293,4,FALSE)*(Platforms!AZ39+Platforms!L39)/Platforms!L39</f>
        <v>336.5158671586716</v>
      </c>
      <c r="AZ39">
        <f t="shared" si="4"/>
        <v>-1239.1</v>
      </c>
    </row>
    <row r="40" spans="1:52" ht="12.75">
      <c r="A40" s="52" t="str">
        <f t="shared" si="5"/>
        <v>6330CAB2WDPQ+</v>
      </c>
      <c r="B40">
        <v>38</v>
      </c>
      <c r="C40">
        <v>6330</v>
      </c>
      <c r="D40" t="s">
        <v>60</v>
      </c>
      <c r="E40" t="s">
        <v>6</v>
      </c>
      <c r="F40" t="s">
        <v>69</v>
      </c>
      <c r="G40" s="53">
        <v>39870</v>
      </c>
      <c r="H40">
        <v>4400</v>
      </c>
      <c r="I40">
        <v>862.38532</v>
      </c>
      <c r="J40">
        <v>744</v>
      </c>
      <c r="K40">
        <v>272.9</v>
      </c>
      <c r="L40">
        <v>2710</v>
      </c>
      <c r="M40">
        <v>880</v>
      </c>
      <c r="N40">
        <v>8200</v>
      </c>
      <c r="O40">
        <v>5000</v>
      </c>
      <c r="P40">
        <v>6500</v>
      </c>
      <c r="Q40" s="52">
        <f t="shared" si="1"/>
        <v>1400.1828073800737</v>
      </c>
      <c r="R40" s="52">
        <f t="shared" si="2"/>
        <v>2999.8171926199266</v>
      </c>
      <c r="S40" s="52">
        <f t="shared" si="3"/>
        <v>2999.817192619926</v>
      </c>
      <c r="T40">
        <v>-1239.4</v>
      </c>
      <c r="U40">
        <v>352.6</v>
      </c>
      <c r="V40" s="54">
        <v>1535</v>
      </c>
      <c r="W40" s="54">
        <v>983</v>
      </c>
      <c r="X40" t="s">
        <v>401</v>
      </c>
      <c r="Y40" t="s">
        <v>401</v>
      </c>
      <c r="Z40" t="s">
        <v>401</v>
      </c>
      <c r="AF40">
        <v>3303</v>
      </c>
      <c r="AG40">
        <f>VLOOKUP('Ballast Calculator'!$D$67,'Drop down Options'!$CS$289:$CV$293,4,FALSE)*Platforms!T40/Platforms!L40</f>
        <v>-283.55276752767526</v>
      </c>
      <c r="AH40">
        <f>VLOOKUP('Ballast Calculator'!$D$67,'Drop down Options'!$CS$289:$CV$293,4,FALSE)+(VLOOKUP('Ballast Calculator'!$D$67,'Drop down Options'!$CS$289:$CV$293,4,FALSE)*T40)/L40</f>
        <v>336.44723247232474</v>
      </c>
      <c r="AI40">
        <f>VLOOKUP('Ballast Calculator'!$D$67,'Drop down Options'!$CS$289:$CV$293,4,FALSE)*(Platforms!L40+Platforms!T40)/Platforms!L40</f>
        <v>336.44723247232474</v>
      </c>
      <c r="AJ40">
        <v>-942.7</v>
      </c>
      <c r="AK40">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40">
        <f>IF(VLOOKUP('Ballast Calculator'!$D$50,'Drop down Options'!$AN$202:$AQ$210,4,FALSE)="",0,Platforms!AK40)</f>
        <v>2494.5318654318653</v>
      </c>
      <c r="AM40">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40">
        <f>IF(VLOOKUP('Ballast Calculator'!$D$50,'Drop down Options'!$AN$202:$AQ$210,4,FALSE)="",0,Platforms!AM40)</f>
        <v>-1106.2318654318653</v>
      </c>
      <c r="AO40">
        <f>VLOOKUP('Ballast Calculator'!$D$54,'Drop down Options'!$CN$277:$CR$280,5,FALSE)*Platforms!AJ40/Platforms!L40</f>
        <v>0</v>
      </c>
      <c r="AP40" s="167">
        <f>VLOOKUP('Ballast Calculator'!$D$54,'Drop down Options'!$CN$277:$CR$280,5,FALSE)+VLOOKUP('Ballast Calculator'!$D$54,'Drop down Options'!$CN$277:$CR$280,5,FALSE)*Platforms!AJ40/Platforms!L40</f>
        <v>0</v>
      </c>
      <c r="AQ40" s="167">
        <f>VLOOKUP('Ballast Calculator'!$D$54,'Drop down Options'!$CN$277:$CR$280,5,FALSE)*(Platforms!AJ40+Platforms!L40)/Platforms!L40</f>
        <v>0</v>
      </c>
      <c r="AR40">
        <f>VLOOKUP('Ballast Calculator'!$D$61,'Drop down Options'!$BW$215:$BZ$248,4,FALSE)*(Platforms!L40+Platforms!AF40)/Platforms!L40</f>
        <v>0</v>
      </c>
      <c r="AS40" s="167">
        <f>-AR40+VLOOKUP('Ballast Calculator'!$D$61,'Drop down Options'!$BW$215:$BZ$248,4,FALSE)</f>
        <v>0</v>
      </c>
      <c r="AT40" s="167">
        <f>-VLOOKUP('Ballast Calculator'!$D$61,'Drop down Options'!$BW$215:$BZ$248,4,FALSE)*Platforms!AF40/Platforms!L40</f>
        <v>0</v>
      </c>
      <c r="AU40">
        <v>0</v>
      </c>
      <c r="AV40">
        <f>VLOOKUP('Ballast Calculator'!$D$64,'Drop down Options'!$CF$253:$CI$272,4,FALSE)</f>
        <v>77</v>
      </c>
      <c r="AW40">
        <f>VLOOKUP('Ballast Calculator'!$D$67,'Drop down Options'!$CS$289:$CV$293,4,FALSE)*Platforms!AZ40/Platforms!L40</f>
        <v>-283.4841328413284</v>
      </c>
      <c r="AX40">
        <f>AW40+VLOOKUP('Ballast Calculator'!$D$67,'Drop down Options'!$CS$289:$CV$293,4,FALSE)</f>
        <v>336.5158671586716</v>
      </c>
      <c r="AY40">
        <f>VLOOKUP('Ballast Calculator'!$D$67,'Drop down Options'!$CS$289:$CV$293,4,FALSE)*(Platforms!AZ40+Platforms!L40)/Platforms!L40</f>
        <v>336.5158671586716</v>
      </c>
      <c r="AZ40">
        <f t="shared" si="4"/>
        <v>-1239.1</v>
      </c>
    </row>
    <row r="41" spans="1:52" ht="12.75">
      <c r="A41" s="52" t="str">
        <f t="shared" si="5"/>
        <v>6330OOS2WDS+</v>
      </c>
      <c r="B41">
        <v>39</v>
      </c>
      <c r="C41" t="s">
        <v>74</v>
      </c>
      <c r="D41" t="s">
        <v>63</v>
      </c>
      <c r="E41" t="s">
        <v>6</v>
      </c>
      <c r="F41" s="54" t="s">
        <v>68</v>
      </c>
      <c r="G41" s="53">
        <v>39870</v>
      </c>
      <c r="H41">
        <v>4100</v>
      </c>
      <c r="I41">
        <v>862.38532</v>
      </c>
      <c r="J41">
        <v>744</v>
      </c>
      <c r="K41">
        <v>272.9</v>
      </c>
      <c r="L41">
        <v>2710</v>
      </c>
      <c r="M41">
        <v>880</v>
      </c>
      <c r="N41">
        <v>8200</v>
      </c>
      <c r="O41">
        <v>5000</v>
      </c>
      <c r="P41">
        <v>6500</v>
      </c>
      <c r="Q41" s="52">
        <f t="shared" si="1"/>
        <v>1304.7157977859779</v>
      </c>
      <c r="R41" s="52">
        <f t="shared" si="2"/>
        <v>2795.284202214022</v>
      </c>
      <c r="S41" s="52">
        <f t="shared" si="3"/>
        <v>2795.2842022140226</v>
      </c>
      <c r="T41">
        <v>-1239.4</v>
      </c>
      <c r="U41">
        <v>352.6</v>
      </c>
      <c r="V41" s="54">
        <v>1535</v>
      </c>
      <c r="W41" s="54">
        <v>983</v>
      </c>
      <c r="X41" t="s">
        <v>401</v>
      </c>
      <c r="Y41" t="s">
        <v>401</v>
      </c>
      <c r="Z41" t="s">
        <v>401</v>
      </c>
      <c r="AF41">
        <v>3303</v>
      </c>
      <c r="AG41">
        <f>VLOOKUP('Ballast Calculator'!$D$67,'Drop down Options'!$CS$289:$CV$293,4,FALSE)*Platforms!T41/Platforms!L41</f>
        <v>-283.55276752767526</v>
      </c>
      <c r="AH41">
        <f>VLOOKUP('Ballast Calculator'!$D$67,'Drop down Options'!$CS$289:$CV$293,4,FALSE)+(VLOOKUP('Ballast Calculator'!$D$67,'Drop down Options'!$CS$289:$CV$293,4,FALSE)*T41)/L41</f>
        <v>336.44723247232474</v>
      </c>
      <c r="AI41">
        <f>VLOOKUP('Ballast Calculator'!$D$67,'Drop down Options'!$CS$289:$CV$293,4,FALSE)*(Platforms!L41+Platforms!T41)/Platforms!L41</f>
        <v>336.44723247232474</v>
      </c>
      <c r="AJ41">
        <v>-942.7</v>
      </c>
      <c r="AK41">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41">
        <f>IF(VLOOKUP('Ballast Calculator'!$D$50,'Drop down Options'!$AN$202:$AQ$210,4,FALSE)="",0,Platforms!AK41)</f>
        <v>2494.5318654318653</v>
      </c>
      <c r="AM41">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41">
        <f>IF(VLOOKUP('Ballast Calculator'!$D$50,'Drop down Options'!$AN$202:$AQ$210,4,FALSE)="",0,Platforms!AM41)</f>
        <v>-1106.2318654318653</v>
      </c>
      <c r="AO41">
        <f>VLOOKUP('Ballast Calculator'!$D$54,'Drop down Options'!$CN$277:$CR$280,5,FALSE)*Platforms!AJ41/Platforms!L41</f>
        <v>0</v>
      </c>
      <c r="AP41" s="167">
        <f>VLOOKUP('Ballast Calculator'!$D$54,'Drop down Options'!$CN$277:$CR$280,5,FALSE)+VLOOKUP('Ballast Calculator'!$D$54,'Drop down Options'!$CN$277:$CR$280,5,FALSE)*Platforms!AJ41/Platforms!L41</f>
        <v>0</v>
      </c>
      <c r="AQ41" s="167">
        <f>VLOOKUP('Ballast Calculator'!$D$54,'Drop down Options'!$CN$277:$CR$280,5,FALSE)*(Platforms!AJ41+Platforms!L41)/Platforms!L41</f>
        <v>0</v>
      </c>
      <c r="AR41">
        <f>VLOOKUP('Ballast Calculator'!$D$61,'Drop down Options'!$BW$215:$BZ$248,4,FALSE)*(Platforms!L41+Platforms!AF41)/Platforms!L41</f>
        <v>0</v>
      </c>
      <c r="AS41" s="167">
        <f>-AR41+VLOOKUP('Ballast Calculator'!$D$61,'Drop down Options'!$BW$215:$BZ$248,4,FALSE)</f>
        <v>0</v>
      </c>
      <c r="AT41" s="167">
        <f>-VLOOKUP('Ballast Calculator'!$D$61,'Drop down Options'!$BW$215:$BZ$248,4,FALSE)*Platforms!AF41/Platforms!L41</f>
        <v>0</v>
      </c>
      <c r="AU41">
        <v>0</v>
      </c>
      <c r="AV41">
        <f>VLOOKUP('Ballast Calculator'!$D$64,'Drop down Options'!$CF$253:$CI$272,4,FALSE)</f>
        <v>77</v>
      </c>
      <c r="AW41">
        <f>VLOOKUP('Ballast Calculator'!$D$67,'Drop down Options'!$CS$289:$CV$293,4,FALSE)*Platforms!AZ41/Platforms!L41</f>
        <v>-283.4841328413284</v>
      </c>
      <c r="AX41">
        <f>AW41+VLOOKUP('Ballast Calculator'!$D$67,'Drop down Options'!$CS$289:$CV$293,4,FALSE)</f>
        <v>336.5158671586716</v>
      </c>
      <c r="AY41">
        <f>VLOOKUP('Ballast Calculator'!$D$67,'Drop down Options'!$CS$289:$CV$293,4,FALSE)*(Platforms!AZ41+Platforms!L41)/Platforms!L41</f>
        <v>336.5158671586716</v>
      </c>
      <c r="AZ41">
        <f t="shared" si="4"/>
        <v>-1239.1</v>
      </c>
    </row>
    <row r="42" spans="1:52" ht="12.75">
      <c r="A42" s="52" t="str">
        <f t="shared" si="5"/>
        <v>6330OOS2WDPQ</v>
      </c>
      <c r="B42">
        <v>40</v>
      </c>
      <c r="C42" t="s">
        <v>74</v>
      </c>
      <c r="D42" t="s">
        <v>63</v>
      </c>
      <c r="E42" t="s">
        <v>6</v>
      </c>
      <c r="F42" s="54" t="s">
        <v>70</v>
      </c>
      <c r="G42" s="53">
        <v>39870</v>
      </c>
      <c r="H42">
        <v>4100</v>
      </c>
      <c r="I42">
        <v>862.38532</v>
      </c>
      <c r="J42">
        <v>744</v>
      </c>
      <c r="K42">
        <v>272.9</v>
      </c>
      <c r="L42">
        <v>2710</v>
      </c>
      <c r="M42">
        <v>880</v>
      </c>
      <c r="N42">
        <v>8200</v>
      </c>
      <c r="O42">
        <v>5000</v>
      </c>
      <c r="P42">
        <v>6500</v>
      </c>
      <c r="Q42" s="52">
        <f t="shared" si="1"/>
        <v>1304.7157977859779</v>
      </c>
      <c r="R42" s="52">
        <f t="shared" si="2"/>
        <v>2795.284202214022</v>
      </c>
      <c r="S42" s="52">
        <f t="shared" si="3"/>
        <v>2795.2842022140226</v>
      </c>
      <c r="T42">
        <v>-1239.4</v>
      </c>
      <c r="U42">
        <v>352.6</v>
      </c>
      <c r="V42" s="54">
        <v>1535</v>
      </c>
      <c r="W42" s="54">
        <v>983</v>
      </c>
      <c r="X42" t="s">
        <v>401</v>
      </c>
      <c r="Y42" t="s">
        <v>401</v>
      </c>
      <c r="Z42" t="s">
        <v>401</v>
      </c>
      <c r="AF42">
        <v>3303</v>
      </c>
      <c r="AG42">
        <f>VLOOKUP('Ballast Calculator'!$D$67,'Drop down Options'!$CS$289:$CV$293,4,FALSE)*Platforms!T42/Platforms!L42</f>
        <v>-283.55276752767526</v>
      </c>
      <c r="AH42">
        <f>VLOOKUP('Ballast Calculator'!$D$67,'Drop down Options'!$CS$289:$CV$293,4,FALSE)+(VLOOKUP('Ballast Calculator'!$D$67,'Drop down Options'!$CS$289:$CV$293,4,FALSE)*T42)/L42</f>
        <v>336.44723247232474</v>
      </c>
      <c r="AI42">
        <f>VLOOKUP('Ballast Calculator'!$D$67,'Drop down Options'!$CS$289:$CV$293,4,FALSE)*(Platforms!L42+Platforms!T42)/Platforms!L42</f>
        <v>336.44723247232474</v>
      </c>
      <c r="AJ42">
        <v>-942.7</v>
      </c>
      <c r="AK42">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42">
        <f>IF(VLOOKUP('Ballast Calculator'!$D$50,'Drop down Options'!$AN$202:$AQ$210,4,FALSE)="",0,Platforms!AK42)</f>
        <v>2494.5318654318653</v>
      </c>
      <c r="AM42">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42">
        <f>IF(VLOOKUP('Ballast Calculator'!$D$50,'Drop down Options'!$AN$202:$AQ$210,4,FALSE)="",0,Platforms!AM42)</f>
        <v>-1106.2318654318653</v>
      </c>
      <c r="AO42">
        <f>VLOOKUP('Ballast Calculator'!$D$54,'Drop down Options'!$CN$277:$CR$280,5,FALSE)*Platforms!AJ42/Platforms!L42</f>
        <v>0</v>
      </c>
      <c r="AP42" s="167">
        <f>VLOOKUP('Ballast Calculator'!$D$54,'Drop down Options'!$CN$277:$CR$280,5,FALSE)+VLOOKUP('Ballast Calculator'!$D$54,'Drop down Options'!$CN$277:$CR$280,5,FALSE)*Platforms!AJ42/Platforms!L42</f>
        <v>0</v>
      </c>
      <c r="AQ42" s="167">
        <f>VLOOKUP('Ballast Calculator'!$D$54,'Drop down Options'!$CN$277:$CR$280,5,FALSE)*(Platforms!AJ42+Platforms!L42)/Platforms!L42</f>
        <v>0</v>
      </c>
      <c r="AR42">
        <f>VLOOKUP('Ballast Calculator'!$D$61,'Drop down Options'!$BW$215:$BZ$248,4,FALSE)*(Platforms!L42+Platforms!AF42)/Platforms!L42</f>
        <v>0</v>
      </c>
      <c r="AS42" s="167">
        <f>-AR42+VLOOKUP('Ballast Calculator'!$D$61,'Drop down Options'!$BW$215:$BZ$248,4,FALSE)</f>
        <v>0</v>
      </c>
      <c r="AT42" s="167">
        <f>-VLOOKUP('Ballast Calculator'!$D$61,'Drop down Options'!$BW$215:$BZ$248,4,FALSE)*Platforms!AF42/Platforms!L42</f>
        <v>0</v>
      </c>
      <c r="AU42">
        <v>0</v>
      </c>
      <c r="AV42">
        <f>VLOOKUP('Ballast Calculator'!$D$64,'Drop down Options'!$CF$253:$CI$272,4,FALSE)</f>
        <v>77</v>
      </c>
      <c r="AW42">
        <f>VLOOKUP('Ballast Calculator'!$D$67,'Drop down Options'!$CS$289:$CV$293,4,FALSE)*Platforms!AZ42/Platforms!L42</f>
        <v>-283.4841328413284</v>
      </c>
      <c r="AX42">
        <f>AW42+VLOOKUP('Ballast Calculator'!$D$67,'Drop down Options'!$CS$289:$CV$293,4,FALSE)</f>
        <v>336.5158671586716</v>
      </c>
      <c r="AY42">
        <f>VLOOKUP('Ballast Calculator'!$D$67,'Drop down Options'!$CS$289:$CV$293,4,FALSE)*(Platforms!AZ42+Platforms!L42)/Platforms!L42</f>
        <v>336.5158671586716</v>
      </c>
      <c r="AZ42">
        <f t="shared" si="4"/>
        <v>-1239.1</v>
      </c>
    </row>
    <row r="43" spans="1:52" ht="12.75">
      <c r="A43" s="52" t="str">
        <f t="shared" si="5"/>
        <v>6330Premium2WDPQ+</v>
      </c>
      <c r="B43">
        <v>41</v>
      </c>
      <c r="C43" t="s">
        <v>74</v>
      </c>
      <c r="D43" t="s">
        <v>71</v>
      </c>
      <c r="E43" t="s">
        <v>6</v>
      </c>
      <c r="F43" s="54" t="s">
        <v>69</v>
      </c>
      <c r="G43" s="53">
        <v>39870</v>
      </c>
      <c r="H43">
        <v>4700</v>
      </c>
      <c r="I43">
        <v>862.38532</v>
      </c>
      <c r="J43">
        <v>744</v>
      </c>
      <c r="K43">
        <v>293.7</v>
      </c>
      <c r="L43">
        <v>2846</v>
      </c>
      <c r="M43">
        <v>880</v>
      </c>
      <c r="N43">
        <v>9000</v>
      </c>
      <c r="O43">
        <v>5000</v>
      </c>
      <c r="P43">
        <v>6800</v>
      </c>
      <c r="Q43" s="52">
        <f t="shared" si="1"/>
        <v>1424.1781461700632</v>
      </c>
      <c r="R43" s="52">
        <f t="shared" si="2"/>
        <v>3275.821853829937</v>
      </c>
      <c r="S43" s="52">
        <f t="shared" si="3"/>
        <v>3275.821853829937</v>
      </c>
      <c r="T43">
        <v>-1239.4</v>
      </c>
      <c r="U43">
        <v>352.6</v>
      </c>
      <c r="V43" s="54">
        <v>1535</v>
      </c>
      <c r="W43" s="54">
        <v>983</v>
      </c>
      <c r="X43" t="s">
        <v>401</v>
      </c>
      <c r="Y43" t="s">
        <v>401</v>
      </c>
      <c r="Z43" t="s">
        <v>401</v>
      </c>
      <c r="AF43">
        <v>3303</v>
      </c>
      <c r="AG43">
        <f>VLOOKUP('Ballast Calculator'!$D$67,'Drop down Options'!$CS$289:$CV$293,4,FALSE)*Platforms!T43/Platforms!L43</f>
        <v>-270.0028109627547</v>
      </c>
      <c r="AH43">
        <f>VLOOKUP('Ballast Calculator'!$D$67,'Drop down Options'!$CS$289:$CV$293,4,FALSE)+(VLOOKUP('Ballast Calculator'!$D$67,'Drop down Options'!$CS$289:$CV$293,4,FALSE)*T43)/L43</f>
        <v>349.9971890372453</v>
      </c>
      <c r="AI43">
        <f>VLOOKUP('Ballast Calculator'!$D$67,'Drop down Options'!$CS$289:$CV$293,4,FALSE)*(Platforms!L43+Platforms!T43)/Platforms!L43</f>
        <v>349.9971890372453</v>
      </c>
      <c r="AJ43">
        <v>-942.7</v>
      </c>
      <c r="AK43">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43">
        <f>IF(VLOOKUP('Ballast Calculator'!$D$50,'Drop down Options'!$AN$202:$AQ$210,4,FALSE)="",0,Platforms!AK43)</f>
        <v>2494.5318654318653</v>
      </c>
      <c r="AM43">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43">
        <f>IF(VLOOKUP('Ballast Calculator'!$D$50,'Drop down Options'!$AN$202:$AQ$210,4,FALSE)="",0,Platforms!AM43)</f>
        <v>-1106.2318654318653</v>
      </c>
      <c r="AO43">
        <f>VLOOKUP('Ballast Calculator'!$D$54,'Drop down Options'!$CN$277:$CR$280,5,FALSE)*Platforms!AJ43/Platforms!L43</f>
        <v>0</v>
      </c>
      <c r="AP43" s="167">
        <f>VLOOKUP('Ballast Calculator'!$D$54,'Drop down Options'!$CN$277:$CR$280,5,FALSE)+VLOOKUP('Ballast Calculator'!$D$54,'Drop down Options'!$CN$277:$CR$280,5,FALSE)*Platforms!AJ43/Platforms!L43</f>
        <v>0</v>
      </c>
      <c r="AQ43" s="167">
        <f>VLOOKUP('Ballast Calculator'!$D$54,'Drop down Options'!$CN$277:$CR$280,5,FALSE)*(Platforms!AJ43+Platforms!L43)/Platforms!L43</f>
        <v>0</v>
      </c>
      <c r="AR43">
        <f>VLOOKUP('Ballast Calculator'!$D$61,'Drop down Options'!$BW$215:$BZ$248,4,FALSE)*(Platforms!L43+Platforms!AF43)/Platforms!L43</f>
        <v>0</v>
      </c>
      <c r="AS43" s="167">
        <f>-AR43+VLOOKUP('Ballast Calculator'!$D$61,'Drop down Options'!$BW$215:$BZ$248,4,FALSE)</f>
        <v>0</v>
      </c>
      <c r="AT43" s="167">
        <f>-VLOOKUP('Ballast Calculator'!$D$61,'Drop down Options'!$BW$215:$BZ$248,4,FALSE)*Platforms!AF43/Platforms!L43</f>
        <v>0</v>
      </c>
      <c r="AU43">
        <v>0</v>
      </c>
      <c r="AV43">
        <f>VLOOKUP('Ballast Calculator'!$D$64,'Drop down Options'!$CF$253:$CI$272,4,FALSE)</f>
        <v>77</v>
      </c>
      <c r="AW43">
        <f>VLOOKUP('Ballast Calculator'!$D$67,'Drop down Options'!$CS$289:$CV$293,4,FALSE)*Platforms!AZ43/Platforms!L43</f>
        <v>-269.93745607870693</v>
      </c>
      <c r="AX43">
        <f>AW43+VLOOKUP('Ballast Calculator'!$D$67,'Drop down Options'!$CS$289:$CV$293,4,FALSE)</f>
        <v>350.06254392129307</v>
      </c>
      <c r="AY43">
        <f>VLOOKUP('Ballast Calculator'!$D$67,'Drop down Options'!$CS$289:$CV$293,4,FALSE)*(Platforms!AZ43+Platforms!L43)/Platforms!L43</f>
        <v>350.06254392129307</v>
      </c>
      <c r="AZ43">
        <f t="shared" si="4"/>
        <v>-1239.1</v>
      </c>
    </row>
    <row r="44" spans="1:52" ht="12.75">
      <c r="A44" s="52" t="str">
        <f t="shared" si="5"/>
        <v>6330Premium2WDAQ+</v>
      </c>
      <c r="B44">
        <v>42</v>
      </c>
      <c r="C44" t="s">
        <v>74</v>
      </c>
      <c r="D44" t="s">
        <v>71</v>
      </c>
      <c r="E44" t="s">
        <v>6</v>
      </c>
      <c r="F44" s="54" t="s">
        <v>72</v>
      </c>
      <c r="G44" s="53">
        <v>39870</v>
      </c>
      <c r="H44">
        <v>4700</v>
      </c>
      <c r="I44">
        <v>862.38532</v>
      </c>
      <c r="J44">
        <v>744</v>
      </c>
      <c r="K44">
        <v>293.7</v>
      </c>
      <c r="L44">
        <v>2846</v>
      </c>
      <c r="M44">
        <v>880</v>
      </c>
      <c r="N44">
        <v>9000</v>
      </c>
      <c r="O44">
        <v>5000</v>
      </c>
      <c r="P44">
        <v>6800</v>
      </c>
      <c r="Q44" s="52">
        <f t="shared" si="1"/>
        <v>1424.1781461700632</v>
      </c>
      <c r="R44" s="52">
        <f t="shared" si="2"/>
        <v>3275.821853829937</v>
      </c>
      <c r="S44" s="52">
        <f t="shared" si="3"/>
        <v>3275.821853829937</v>
      </c>
      <c r="T44">
        <v>-1239.4</v>
      </c>
      <c r="U44">
        <v>352.6</v>
      </c>
      <c r="V44" s="54">
        <v>1535</v>
      </c>
      <c r="W44" s="54">
        <v>983</v>
      </c>
      <c r="X44" t="s">
        <v>401</v>
      </c>
      <c r="Y44" t="s">
        <v>401</v>
      </c>
      <c r="Z44" t="s">
        <v>401</v>
      </c>
      <c r="AF44">
        <v>3303</v>
      </c>
      <c r="AG44">
        <f>VLOOKUP('Ballast Calculator'!$D$67,'Drop down Options'!$CS$289:$CV$293,4,FALSE)*Platforms!T44/Platforms!L44</f>
        <v>-270.0028109627547</v>
      </c>
      <c r="AH44">
        <f>VLOOKUP('Ballast Calculator'!$D$67,'Drop down Options'!$CS$289:$CV$293,4,FALSE)+(VLOOKUP('Ballast Calculator'!$D$67,'Drop down Options'!$CS$289:$CV$293,4,FALSE)*T44)/L44</f>
        <v>349.9971890372453</v>
      </c>
      <c r="AI44">
        <f>VLOOKUP('Ballast Calculator'!$D$67,'Drop down Options'!$CS$289:$CV$293,4,FALSE)*(Platforms!L44+Platforms!T44)/Platforms!L44</f>
        <v>349.9971890372453</v>
      </c>
      <c r="AJ44">
        <v>-942.7</v>
      </c>
      <c r="AK44">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44">
        <f>IF(VLOOKUP('Ballast Calculator'!$D$50,'Drop down Options'!$AN$202:$AQ$210,4,FALSE)="",0,Platforms!AK44)</f>
        <v>2494.5318654318653</v>
      </c>
      <c r="AM44">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44">
        <f>IF(VLOOKUP('Ballast Calculator'!$D$50,'Drop down Options'!$AN$202:$AQ$210,4,FALSE)="",0,Platforms!AM44)</f>
        <v>-1106.2318654318653</v>
      </c>
      <c r="AO44">
        <f>VLOOKUP('Ballast Calculator'!$D$54,'Drop down Options'!$CN$277:$CR$280,5,FALSE)*Platforms!AJ44/Platforms!L44</f>
        <v>0</v>
      </c>
      <c r="AP44" s="167">
        <f>VLOOKUP('Ballast Calculator'!$D$54,'Drop down Options'!$CN$277:$CR$280,5,FALSE)+VLOOKUP('Ballast Calculator'!$D$54,'Drop down Options'!$CN$277:$CR$280,5,FALSE)*Platforms!AJ44/Platforms!L44</f>
        <v>0</v>
      </c>
      <c r="AQ44" s="167">
        <f>VLOOKUP('Ballast Calculator'!$D$54,'Drop down Options'!$CN$277:$CR$280,5,FALSE)*(Platforms!AJ44+Platforms!L44)/Platforms!L44</f>
        <v>0</v>
      </c>
      <c r="AR44">
        <f>VLOOKUP('Ballast Calculator'!$D$61,'Drop down Options'!$BW$215:$BZ$248,4,FALSE)*(Platforms!L44+Platforms!AF44)/Platforms!L44</f>
        <v>0</v>
      </c>
      <c r="AS44" s="167">
        <f>-AR44+VLOOKUP('Ballast Calculator'!$D$61,'Drop down Options'!$BW$215:$BZ$248,4,FALSE)</f>
        <v>0</v>
      </c>
      <c r="AT44" s="167">
        <f>-VLOOKUP('Ballast Calculator'!$D$61,'Drop down Options'!$BW$215:$BZ$248,4,FALSE)*Platforms!AF44/Platforms!L44</f>
        <v>0</v>
      </c>
      <c r="AU44">
        <v>0</v>
      </c>
      <c r="AV44">
        <f>VLOOKUP('Ballast Calculator'!$D$64,'Drop down Options'!$CF$253:$CI$272,4,FALSE)</f>
        <v>77</v>
      </c>
      <c r="AW44">
        <f>VLOOKUP('Ballast Calculator'!$D$67,'Drop down Options'!$CS$289:$CV$293,4,FALSE)*Platforms!AZ44/Platforms!L44</f>
        <v>-269.93745607870693</v>
      </c>
      <c r="AX44">
        <f>AW44+VLOOKUP('Ballast Calculator'!$D$67,'Drop down Options'!$CS$289:$CV$293,4,FALSE)</f>
        <v>350.06254392129307</v>
      </c>
      <c r="AY44">
        <f>VLOOKUP('Ballast Calculator'!$D$67,'Drop down Options'!$CS$289:$CV$293,4,FALSE)*(Platforms!AZ44+Platforms!L44)/Platforms!L44</f>
        <v>350.06254392129307</v>
      </c>
      <c r="AZ44">
        <f t="shared" si="4"/>
        <v>-1239.1</v>
      </c>
    </row>
    <row r="45" spans="1:52" ht="12.75">
      <c r="A45" s="52" t="str">
        <f t="shared" si="5"/>
        <v>6330Premium2WDIVT</v>
      </c>
      <c r="B45">
        <v>43</v>
      </c>
      <c r="C45" t="s">
        <v>74</v>
      </c>
      <c r="D45" t="s">
        <v>71</v>
      </c>
      <c r="E45" t="s">
        <v>6</v>
      </c>
      <c r="F45" s="54" t="s">
        <v>75</v>
      </c>
      <c r="G45" s="53">
        <v>39870</v>
      </c>
      <c r="H45">
        <v>4700</v>
      </c>
      <c r="I45">
        <v>862.38532</v>
      </c>
      <c r="J45">
        <v>744</v>
      </c>
      <c r="K45">
        <v>293.7</v>
      </c>
      <c r="L45">
        <v>2846</v>
      </c>
      <c r="M45">
        <v>880</v>
      </c>
      <c r="N45">
        <v>9000</v>
      </c>
      <c r="O45">
        <v>5000</v>
      </c>
      <c r="P45">
        <v>6800</v>
      </c>
      <c r="Q45" s="52">
        <f t="shared" si="1"/>
        <v>1424.1781461700632</v>
      </c>
      <c r="R45" s="52">
        <f t="shared" si="2"/>
        <v>3275.821853829937</v>
      </c>
      <c r="S45" s="52">
        <f t="shared" si="3"/>
        <v>3275.821853829937</v>
      </c>
      <c r="T45">
        <v>-1239.4</v>
      </c>
      <c r="U45">
        <v>352.6</v>
      </c>
      <c r="V45" s="54">
        <v>1535</v>
      </c>
      <c r="W45" s="54">
        <v>983</v>
      </c>
      <c r="X45" t="s">
        <v>401</v>
      </c>
      <c r="Y45" t="s">
        <v>401</v>
      </c>
      <c r="Z45" t="s">
        <v>401</v>
      </c>
      <c r="AF45">
        <v>3303</v>
      </c>
      <c r="AG45">
        <f>VLOOKUP('Ballast Calculator'!$D$67,'Drop down Options'!$CS$289:$CV$293,4,FALSE)*Platforms!T45/Platforms!L45</f>
        <v>-270.0028109627547</v>
      </c>
      <c r="AH45">
        <f>VLOOKUP('Ballast Calculator'!$D$67,'Drop down Options'!$CS$289:$CV$293,4,FALSE)+(VLOOKUP('Ballast Calculator'!$D$67,'Drop down Options'!$CS$289:$CV$293,4,FALSE)*T45)/L45</f>
        <v>349.9971890372453</v>
      </c>
      <c r="AI45">
        <f>VLOOKUP('Ballast Calculator'!$D$67,'Drop down Options'!$CS$289:$CV$293,4,FALSE)*(Platforms!L45+Platforms!T45)/Platforms!L45</f>
        <v>349.9971890372453</v>
      </c>
      <c r="AJ45">
        <v>-942.7</v>
      </c>
      <c r="AK45">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45">
        <f>IF(VLOOKUP('Ballast Calculator'!$D$50,'Drop down Options'!$AN$202:$AQ$210,4,FALSE)="",0,Platforms!AK45)</f>
        <v>2494.5318654318653</v>
      </c>
      <c r="AM45">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45">
        <f>IF(VLOOKUP('Ballast Calculator'!$D$50,'Drop down Options'!$AN$202:$AQ$210,4,FALSE)="",0,Platforms!AM45)</f>
        <v>-1106.2318654318653</v>
      </c>
      <c r="AO45">
        <f>VLOOKUP('Ballast Calculator'!$D$54,'Drop down Options'!$CN$277:$CR$280,5,FALSE)*Platforms!AJ45/Platforms!L45</f>
        <v>0</v>
      </c>
      <c r="AP45" s="167">
        <f>VLOOKUP('Ballast Calculator'!$D$54,'Drop down Options'!$CN$277:$CR$280,5,FALSE)+VLOOKUP('Ballast Calculator'!$D$54,'Drop down Options'!$CN$277:$CR$280,5,FALSE)*Platforms!AJ45/Platforms!L45</f>
        <v>0</v>
      </c>
      <c r="AQ45" s="167">
        <f>VLOOKUP('Ballast Calculator'!$D$54,'Drop down Options'!$CN$277:$CR$280,5,FALSE)*(Platforms!AJ45+Platforms!L45)/Platforms!L45</f>
        <v>0</v>
      </c>
      <c r="AR45">
        <f>VLOOKUP('Ballast Calculator'!$D$61,'Drop down Options'!$BW$215:$BZ$248,4,FALSE)*(Platforms!L45+Platforms!AF45)/Platforms!L45</f>
        <v>0</v>
      </c>
      <c r="AS45" s="167">
        <f>-AR45+VLOOKUP('Ballast Calculator'!$D$61,'Drop down Options'!$BW$215:$BZ$248,4,FALSE)</f>
        <v>0</v>
      </c>
      <c r="AT45" s="167">
        <f>-VLOOKUP('Ballast Calculator'!$D$61,'Drop down Options'!$BW$215:$BZ$248,4,FALSE)*Platforms!AF45/Platforms!L45</f>
        <v>0</v>
      </c>
      <c r="AU45">
        <v>0</v>
      </c>
      <c r="AV45">
        <f>VLOOKUP('Ballast Calculator'!$D$64,'Drop down Options'!$CF$253:$CI$272,4,FALSE)</f>
        <v>77</v>
      </c>
      <c r="AW45">
        <f>VLOOKUP('Ballast Calculator'!$D$67,'Drop down Options'!$CS$289:$CV$293,4,FALSE)*Platforms!AZ45/Platforms!L45</f>
        <v>-269.93745607870693</v>
      </c>
      <c r="AX45">
        <f>AW45+VLOOKUP('Ballast Calculator'!$D$67,'Drop down Options'!$CS$289:$CV$293,4,FALSE)</f>
        <v>350.06254392129307</v>
      </c>
      <c r="AY45">
        <f>VLOOKUP('Ballast Calculator'!$D$67,'Drop down Options'!$CS$289:$CV$293,4,FALSE)*(Platforms!AZ45+Platforms!L45)/Platforms!L45</f>
        <v>350.06254392129307</v>
      </c>
      <c r="AZ45">
        <f t="shared" si="4"/>
        <v>-1239.1</v>
      </c>
    </row>
    <row r="46" spans="1:52" ht="12.75">
      <c r="A46" s="52" t="str">
        <f t="shared" si="5"/>
        <v>6330CABMFWDS+</v>
      </c>
      <c r="B46">
        <v>44</v>
      </c>
      <c r="C46" t="s">
        <v>74</v>
      </c>
      <c r="D46" t="s">
        <v>60</v>
      </c>
      <c r="E46" t="s">
        <v>64</v>
      </c>
      <c r="F46" t="s">
        <v>68</v>
      </c>
      <c r="G46" s="53">
        <v>39870</v>
      </c>
      <c r="H46">
        <v>4400</v>
      </c>
      <c r="I46">
        <v>862.38532</v>
      </c>
      <c r="J46">
        <v>150</v>
      </c>
      <c r="K46">
        <v>400</v>
      </c>
      <c r="L46">
        <v>2645.5</v>
      </c>
      <c r="M46">
        <v>880</v>
      </c>
      <c r="N46">
        <v>8200</v>
      </c>
      <c r="O46">
        <v>5800</v>
      </c>
      <c r="P46">
        <v>6800</v>
      </c>
      <c r="Q46" s="52">
        <f t="shared" si="1"/>
        <v>1434.3206985446984</v>
      </c>
      <c r="R46" s="52">
        <f t="shared" si="2"/>
        <v>2965.6793014553014</v>
      </c>
      <c r="S46" s="52">
        <f t="shared" si="3"/>
        <v>2965.6793014553014</v>
      </c>
      <c r="T46">
        <v>-1239.4</v>
      </c>
      <c r="U46">
        <v>352.6</v>
      </c>
      <c r="V46" s="54">
        <v>1535</v>
      </c>
      <c r="W46" s="54">
        <v>983</v>
      </c>
      <c r="X46" t="s">
        <v>401</v>
      </c>
      <c r="Y46" t="s">
        <v>401</v>
      </c>
      <c r="Z46" t="s">
        <v>401</v>
      </c>
      <c r="AA46" t="s">
        <v>401</v>
      </c>
      <c r="AF46">
        <v>3303</v>
      </c>
      <c r="AG46">
        <f>VLOOKUP('Ballast Calculator'!$D$67,'Drop down Options'!$CS$289:$CV$293,4,FALSE)*Platforms!T46/Platforms!L46</f>
        <v>-290.4660744660745</v>
      </c>
      <c r="AH46">
        <f>VLOOKUP('Ballast Calculator'!$D$67,'Drop down Options'!$CS$289:$CV$293,4,FALSE)+(VLOOKUP('Ballast Calculator'!$D$67,'Drop down Options'!$CS$289:$CV$293,4,FALSE)*T46)/L46</f>
        <v>329.5339255339255</v>
      </c>
      <c r="AI46">
        <f>VLOOKUP('Ballast Calculator'!$D$67,'Drop down Options'!$CS$289:$CV$293,4,FALSE)*(Platforms!L46+Platforms!T46)/Platforms!L46</f>
        <v>329.5339255339255</v>
      </c>
      <c r="AJ46">
        <v>-942.7</v>
      </c>
      <c r="AK46">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46">
        <f>IF(VLOOKUP('Ballast Calculator'!$D$50,'Drop down Options'!$AN$202:$AQ$210,4,FALSE)="",0,Platforms!AK46)</f>
        <v>2494.5318654318653</v>
      </c>
      <c r="AM46">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46">
        <f>IF(VLOOKUP('Ballast Calculator'!$D$50,'Drop down Options'!$AN$202:$AQ$210,4,FALSE)="",0,Platforms!AM46)</f>
        <v>-1106.2318654318653</v>
      </c>
      <c r="AO46">
        <f>VLOOKUP('Ballast Calculator'!$D$54,'Drop down Options'!$CN$277:$CR$280,5,FALSE)*Platforms!AJ46/Platforms!L46</f>
        <v>0</v>
      </c>
      <c r="AP46" s="167">
        <f>VLOOKUP('Ballast Calculator'!$D$54,'Drop down Options'!$CN$277:$CR$280,5,FALSE)+VLOOKUP('Ballast Calculator'!$D$54,'Drop down Options'!$CN$277:$CR$280,5,FALSE)*Platforms!AJ46/Platforms!L46</f>
        <v>0</v>
      </c>
      <c r="AQ46" s="167">
        <f>VLOOKUP('Ballast Calculator'!$D$54,'Drop down Options'!$CN$277:$CR$280,5,FALSE)*(Platforms!AJ46+Platforms!L46)/Platforms!L46</f>
        <v>0</v>
      </c>
      <c r="AR46">
        <f>VLOOKUP('Ballast Calculator'!$D$61,'Drop down Options'!$BW$215:$BZ$248,4,FALSE)*(Platforms!L46+Platforms!AF46)/Platforms!L46</f>
        <v>0</v>
      </c>
      <c r="AS46" s="167">
        <f>-AR46+VLOOKUP('Ballast Calculator'!$D$61,'Drop down Options'!$BW$215:$BZ$248,4,FALSE)</f>
        <v>0</v>
      </c>
      <c r="AT46" s="167">
        <f>-VLOOKUP('Ballast Calculator'!$D$61,'Drop down Options'!$BW$215:$BZ$248,4,FALSE)*Platforms!AF46/Platforms!L46</f>
        <v>0</v>
      </c>
      <c r="AU46">
        <v>0</v>
      </c>
      <c r="AV46">
        <f>VLOOKUP('Ballast Calculator'!$D$64,'Drop down Options'!$CF$253:$CI$272,4,FALSE)</f>
        <v>77</v>
      </c>
      <c r="AW46">
        <f>VLOOKUP('Ballast Calculator'!$D$67,'Drop down Options'!$CS$289:$CV$293,4,FALSE)*Platforms!AZ46/Platforms!L46</f>
        <v>-290.3957663957664</v>
      </c>
      <c r="AX46">
        <f>AW46+VLOOKUP('Ballast Calculator'!$D$67,'Drop down Options'!$CS$289:$CV$293,4,FALSE)</f>
        <v>329.6042336042336</v>
      </c>
      <c r="AY46">
        <f>VLOOKUP('Ballast Calculator'!$D$67,'Drop down Options'!$CS$289:$CV$293,4,FALSE)*(Platforms!AZ46+Platforms!L46)/Platforms!L46</f>
        <v>329.6042336042336</v>
      </c>
      <c r="AZ46">
        <f t="shared" si="4"/>
        <v>-1239.1</v>
      </c>
    </row>
    <row r="47" spans="1:52" ht="12.75">
      <c r="A47" s="52" t="str">
        <f t="shared" si="5"/>
        <v>6330CABMFWDPQ+</v>
      </c>
      <c r="B47">
        <v>45</v>
      </c>
      <c r="C47" t="s">
        <v>74</v>
      </c>
      <c r="D47" t="s">
        <v>60</v>
      </c>
      <c r="E47" t="s">
        <v>64</v>
      </c>
      <c r="F47" t="s">
        <v>69</v>
      </c>
      <c r="G47" s="53">
        <v>39870</v>
      </c>
      <c r="H47">
        <v>4400</v>
      </c>
      <c r="I47">
        <v>862.38532</v>
      </c>
      <c r="J47">
        <v>150</v>
      </c>
      <c r="K47">
        <v>400</v>
      </c>
      <c r="L47">
        <v>2645.5</v>
      </c>
      <c r="M47">
        <v>880</v>
      </c>
      <c r="N47">
        <v>8200</v>
      </c>
      <c r="O47">
        <v>5800</v>
      </c>
      <c r="P47">
        <v>6800</v>
      </c>
      <c r="Q47" s="52">
        <f t="shared" si="1"/>
        <v>1434.3206985446984</v>
      </c>
      <c r="R47" s="52">
        <f t="shared" si="2"/>
        <v>2965.6793014553014</v>
      </c>
      <c r="S47" s="52">
        <f t="shared" si="3"/>
        <v>2965.6793014553014</v>
      </c>
      <c r="T47">
        <v>-1239.4</v>
      </c>
      <c r="U47">
        <v>352.6</v>
      </c>
      <c r="V47" s="54">
        <v>1535</v>
      </c>
      <c r="W47" s="54">
        <v>983</v>
      </c>
      <c r="X47" t="s">
        <v>401</v>
      </c>
      <c r="Y47" t="s">
        <v>401</v>
      </c>
      <c r="Z47" t="s">
        <v>401</v>
      </c>
      <c r="AA47" t="s">
        <v>401</v>
      </c>
      <c r="AF47">
        <v>3303</v>
      </c>
      <c r="AG47">
        <f>VLOOKUP('Ballast Calculator'!$D$67,'Drop down Options'!$CS$289:$CV$293,4,FALSE)*Platforms!T47/Platforms!L47</f>
        <v>-290.4660744660745</v>
      </c>
      <c r="AH47">
        <f>VLOOKUP('Ballast Calculator'!$D$67,'Drop down Options'!$CS$289:$CV$293,4,FALSE)+(VLOOKUP('Ballast Calculator'!$D$67,'Drop down Options'!$CS$289:$CV$293,4,FALSE)*T47)/L47</f>
        <v>329.5339255339255</v>
      </c>
      <c r="AI47">
        <f>VLOOKUP('Ballast Calculator'!$D$67,'Drop down Options'!$CS$289:$CV$293,4,FALSE)*(Platforms!L47+Platforms!T47)/Platforms!L47</f>
        <v>329.5339255339255</v>
      </c>
      <c r="AJ47">
        <v>-942.7</v>
      </c>
      <c r="AK47">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47">
        <f>IF(VLOOKUP('Ballast Calculator'!$D$50,'Drop down Options'!$AN$202:$AQ$210,4,FALSE)="",0,Platforms!AK47)</f>
        <v>2494.5318654318653</v>
      </c>
      <c r="AM47">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47">
        <f>IF(VLOOKUP('Ballast Calculator'!$D$50,'Drop down Options'!$AN$202:$AQ$210,4,FALSE)="",0,Platforms!AM47)</f>
        <v>-1106.2318654318653</v>
      </c>
      <c r="AO47">
        <f>VLOOKUP('Ballast Calculator'!$D$54,'Drop down Options'!$CN$277:$CR$280,5,FALSE)*Platforms!AJ47/Platforms!L47</f>
        <v>0</v>
      </c>
      <c r="AP47" s="167">
        <f>VLOOKUP('Ballast Calculator'!$D$54,'Drop down Options'!$CN$277:$CR$280,5,FALSE)+VLOOKUP('Ballast Calculator'!$D$54,'Drop down Options'!$CN$277:$CR$280,5,FALSE)*Platforms!AJ47/Platforms!L47</f>
        <v>0</v>
      </c>
      <c r="AQ47" s="167">
        <f>VLOOKUP('Ballast Calculator'!$D$54,'Drop down Options'!$CN$277:$CR$280,5,FALSE)*(Platforms!AJ47+Platforms!L47)/Platforms!L47</f>
        <v>0</v>
      </c>
      <c r="AR47">
        <f>VLOOKUP('Ballast Calculator'!$D$61,'Drop down Options'!$BW$215:$BZ$248,4,FALSE)*(Platforms!L47+Platforms!AF47)/Platforms!L47</f>
        <v>0</v>
      </c>
      <c r="AS47" s="167">
        <f>-AR47+VLOOKUP('Ballast Calculator'!$D$61,'Drop down Options'!$BW$215:$BZ$248,4,FALSE)</f>
        <v>0</v>
      </c>
      <c r="AT47" s="167">
        <f>-VLOOKUP('Ballast Calculator'!$D$61,'Drop down Options'!$BW$215:$BZ$248,4,FALSE)*Platforms!AF47/Platforms!L47</f>
        <v>0</v>
      </c>
      <c r="AU47">
        <v>0</v>
      </c>
      <c r="AV47">
        <f>VLOOKUP('Ballast Calculator'!$D$64,'Drop down Options'!$CF$253:$CI$272,4,FALSE)</f>
        <v>77</v>
      </c>
      <c r="AW47">
        <f>VLOOKUP('Ballast Calculator'!$D$67,'Drop down Options'!$CS$289:$CV$293,4,FALSE)*Platforms!AZ47/Platforms!L47</f>
        <v>-290.3957663957664</v>
      </c>
      <c r="AX47">
        <f>AW47+VLOOKUP('Ballast Calculator'!$D$67,'Drop down Options'!$CS$289:$CV$293,4,FALSE)</f>
        <v>329.6042336042336</v>
      </c>
      <c r="AY47">
        <f>VLOOKUP('Ballast Calculator'!$D$67,'Drop down Options'!$CS$289:$CV$293,4,FALSE)*(Platforms!AZ47+Platforms!L47)/Platforms!L47</f>
        <v>329.6042336042336</v>
      </c>
      <c r="AZ47">
        <f t="shared" si="4"/>
        <v>-1239.1</v>
      </c>
    </row>
    <row r="48" spans="1:52" ht="12.75">
      <c r="A48" s="52" t="str">
        <f t="shared" si="5"/>
        <v>6330OOSMFWDS+</v>
      </c>
      <c r="B48">
        <v>46</v>
      </c>
      <c r="C48" t="s">
        <v>74</v>
      </c>
      <c r="D48" t="s">
        <v>63</v>
      </c>
      <c r="E48" t="s">
        <v>64</v>
      </c>
      <c r="F48" s="54" t="s">
        <v>68</v>
      </c>
      <c r="G48" s="53">
        <v>39870</v>
      </c>
      <c r="H48">
        <v>4100</v>
      </c>
      <c r="I48">
        <v>862.38532</v>
      </c>
      <c r="J48">
        <v>150</v>
      </c>
      <c r="K48">
        <v>400</v>
      </c>
      <c r="L48">
        <v>2645.5</v>
      </c>
      <c r="M48">
        <v>880</v>
      </c>
      <c r="N48">
        <v>8200</v>
      </c>
      <c r="O48">
        <v>5800</v>
      </c>
      <c r="P48">
        <v>6800</v>
      </c>
      <c r="Q48" s="52">
        <f t="shared" si="1"/>
        <v>1336.5261054621055</v>
      </c>
      <c r="R48" s="52">
        <f t="shared" si="2"/>
        <v>2763.4738945378945</v>
      </c>
      <c r="S48" s="52">
        <f t="shared" si="3"/>
        <v>2763.473894537895</v>
      </c>
      <c r="T48">
        <v>-1239.4</v>
      </c>
      <c r="U48">
        <v>352.6</v>
      </c>
      <c r="V48" s="54">
        <v>1535</v>
      </c>
      <c r="W48" s="54">
        <v>983</v>
      </c>
      <c r="X48" t="s">
        <v>401</v>
      </c>
      <c r="Y48" t="s">
        <v>401</v>
      </c>
      <c r="Z48" t="s">
        <v>401</v>
      </c>
      <c r="AA48" t="s">
        <v>401</v>
      </c>
      <c r="AF48">
        <v>3303</v>
      </c>
      <c r="AG48">
        <f>VLOOKUP('Ballast Calculator'!$D$67,'Drop down Options'!$CS$289:$CV$293,4,FALSE)*Platforms!T48/Platforms!L48</f>
        <v>-290.4660744660745</v>
      </c>
      <c r="AH48">
        <f>VLOOKUP('Ballast Calculator'!$D$67,'Drop down Options'!$CS$289:$CV$293,4,FALSE)+(VLOOKUP('Ballast Calculator'!$D$67,'Drop down Options'!$CS$289:$CV$293,4,FALSE)*T48)/L48</f>
        <v>329.5339255339255</v>
      </c>
      <c r="AI48">
        <f>VLOOKUP('Ballast Calculator'!$D$67,'Drop down Options'!$CS$289:$CV$293,4,FALSE)*(Platforms!L48+Platforms!T48)/Platforms!L48</f>
        <v>329.5339255339255</v>
      </c>
      <c r="AJ48">
        <v>-942.7</v>
      </c>
      <c r="AK48">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48">
        <f>IF(VLOOKUP('Ballast Calculator'!$D$50,'Drop down Options'!$AN$202:$AQ$210,4,FALSE)="",0,Platforms!AK48)</f>
        <v>2494.5318654318653</v>
      </c>
      <c r="AM48">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48">
        <f>IF(VLOOKUP('Ballast Calculator'!$D$50,'Drop down Options'!$AN$202:$AQ$210,4,FALSE)="",0,Platforms!AM48)</f>
        <v>-1106.2318654318653</v>
      </c>
      <c r="AO48">
        <f>VLOOKUP('Ballast Calculator'!$D$54,'Drop down Options'!$CN$277:$CR$280,5,FALSE)*Platforms!AJ48/Platforms!L48</f>
        <v>0</v>
      </c>
      <c r="AP48" s="167">
        <f>VLOOKUP('Ballast Calculator'!$D$54,'Drop down Options'!$CN$277:$CR$280,5,FALSE)+VLOOKUP('Ballast Calculator'!$D$54,'Drop down Options'!$CN$277:$CR$280,5,FALSE)*Platforms!AJ48/Platforms!L48</f>
        <v>0</v>
      </c>
      <c r="AQ48" s="167">
        <f>VLOOKUP('Ballast Calculator'!$D$54,'Drop down Options'!$CN$277:$CR$280,5,FALSE)*(Platforms!AJ48+Platforms!L48)/Platforms!L48</f>
        <v>0</v>
      </c>
      <c r="AR48">
        <f>VLOOKUP('Ballast Calculator'!$D$61,'Drop down Options'!$BW$215:$BZ$248,4,FALSE)*(Platforms!L48+Platforms!AF48)/Platforms!L48</f>
        <v>0</v>
      </c>
      <c r="AS48" s="167">
        <f>-AR48+VLOOKUP('Ballast Calculator'!$D$61,'Drop down Options'!$BW$215:$BZ$248,4,FALSE)</f>
        <v>0</v>
      </c>
      <c r="AT48" s="167">
        <f>-VLOOKUP('Ballast Calculator'!$D$61,'Drop down Options'!$BW$215:$BZ$248,4,FALSE)*Platforms!AF48/Platforms!L48</f>
        <v>0</v>
      </c>
      <c r="AU48">
        <v>0</v>
      </c>
      <c r="AV48">
        <f>VLOOKUP('Ballast Calculator'!$D$64,'Drop down Options'!$CF$253:$CI$272,4,FALSE)</f>
        <v>77</v>
      </c>
      <c r="AW48">
        <f>VLOOKUP('Ballast Calculator'!$D$67,'Drop down Options'!$CS$289:$CV$293,4,FALSE)*Platforms!AZ48/Platforms!L48</f>
        <v>-290.3957663957664</v>
      </c>
      <c r="AX48">
        <f>AW48+VLOOKUP('Ballast Calculator'!$D$67,'Drop down Options'!$CS$289:$CV$293,4,FALSE)</f>
        <v>329.6042336042336</v>
      </c>
      <c r="AY48">
        <f>VLOOKUP('Ballast Calculator'!$D$67,'Drop down Options'!$CS$289:$CV$293,4,FALSE)*(Platforms!AZ48+Platforms!L48)/Platforms!L48</f>
        <v>329.6042336042336</v>
      </c>
      <c r="AZ48">
        <f t="shared" si="4"/>
        <v>-1239.1</v>
      </c>
    </row>
    <row r="49" spans="1:52" ht="12.75">
      <c r="A49" s="52" t="str">
        <f t="shared" si="5"/>
        <v>6330OOSMFWDPQ</v>
      </c>
      <c r="B49">
        <v>47</v>
      </c>
      <c r="C49" t="s">
        <v>74</v>
      </c>
      <c r="D49" t="s">
        <v>63</v>
      </c>
      <c r="E49" t="s">
        <v>64</v>
      </c>
      <c r="F49" s="54" t="s">
        <v>70</v>
      </c>
      <c r="G49" s="53">
        <v>39870</v>
      </c>
      <c r="H49">
        <v>4100</v>
      </c>
      <c r="I49">
        <v>862.38532</v>
      </c>
      <c r="J49">
        <v>150</v>
      </c>
      <c r="K49">
        <v>400</v>
      </c>
      <c r="L49">
        <v>2645.5</v>
      </c>
      <c r="M49">
        <v>880</v>
      </c>
      <c r="N49">
        <v>8200</v>
      </c>
      <c r="O49">
        <v>5800</v>
      </c>
      <c r="P49">
        <v>6800</v>
      </c>
      <c r="Q49" s="52">
        <f t="shared" si="1"/>
        <v>1336.5261054621055</v>
      </c>
      <c r="R49" s="52">
        <f t="shared" si="2"/>
        <v>2763.4738945378945</v>
      </c>
      <c r="S49" s="52">
        <f t="shared" si="3"/>
        <v>2763.473894537895</v>
      </c>
      <c r="T49">
        <v>-1239.4</v>
      </c>
      <c r="U49">
        <v>352.6</v>
      </c>
      <c r="V49" s="54">
        <v>1535</v>
      </c>
      <c r="W49" s="54">
        <v>983</v>
      </c>
      <c r="X49" t="s">
        <v>401</v>
      </c>
      <c r="Y49" t="s">
        <v>401</v>
      </c>
      <c r="Z49" t="s">
        <v>401</v>
      </c>
      <c r="AA49" t="s">
        <v>401</v>
      </c>
      <c r="AF49">
        <v>3303</v>
      </c>
      <c r="AG49">
        <f>VLOOKUP('Ballast Calculator'!$D$67,'Drop down Options'!$CS$289:$CV$293,4,FALSE)*Platforms!T49/Platforms!L49</f>
        <v>-290.4660744660745</v>
      </c>
      <c r="AH49">
        <f>VLOOKUP('Ballast Calculator'!$D$67,'Drop down Options'!$CS$289:$CV$293,4,FALSE)+(VLOOKUP('Ballast Calculator'!$D$67,'Drop down Options'!$CS$289:$CV$293,4,FALSE)*T49)/L49</f>
        <v>329.5339255339255</v>
      </c>
      <c r="AI49">
        <f>VLOOKUP('Ballast Calculator'!$D$67,'Drop down Options'!$CS$289:$CV$293,4,FALSE)*(Platforms!L49+Platforms!T49)/Platforms!L49</f>
        <v>329.5339255339255</v>
      </c>
      <c r="AJ49">
        <v>-942.7</v>
      </c>
      <c r="AK49">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49">
        <f>IF(VLOOKUP('Ballast Calculator'!$D$50,'Drop down Options'!$AN$202:$AQ$210,4,FALSE)="",0,Platforms!AK49)</f>
        <v>2494.5318654318653</v>
      </c>
      <c r="AM49">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49">
        <f>IF(VLOOKUP('Ballast Calculator'!$D$50,'Drop down Options'!$AN$202:$AQ$210,4,FALSE)="",0,Platforms!AM49)</f>
        <v>-1106.2318654318653</v>
      </c>
      <c r="AO49">
        <f>VLOOKUP('Ballast Calculator'!$D$54,'Drop down Options'!$CN$277:$CR$280,5,FALSE)*Platforms!AJ49/Platforms!L49</f>
        <v>0</v>
      </c>
      <c r="AP49" s="167">
        <f>VLOOKUP('Ballast Calculator'!$D$54,'Drop down Options'!$CN$277:$CR$280,5,FALSE)+VLOOKUP('Ballast Calculator'!$D$54,'Drop down Options'!$CN$277:$CR$280,5,FALSE)*Platforms!AJ49/Platforms!L49</f>
        <v>0</v>
      </c>
      <c r="AQ49" s="167">
        <f>VLOOKUP('Ballast Calculator'!$D$54,'Drop down Options'!$CN$277:$CR$280,5,FALSE)*(Platforms!AJ49+Platforms!L49)/Platforms!L49</f>
        <v>0</v>
      </c>
      <c r="AR49">
        <f>VLOOKUP('Ballast Calculator'!$D$61,'Drop down Options'!$BW$215:$BZ$248,4,FALSE)*(Platforms!L49+Platforms!AF49)/Platforms!L49</f>
        <v>0</v>
      </c>
      <c r="AS49" s="167">
        <f>-AR49+VLOOKUP('Ballast Calculator'!$D$61,'Drop down Options'!$BW$215:$BZ$248,4,FALSE)</f>
        <v>0</v>
      </c>
      <c r="AT49" s="167">
        <f>-VLOOKUP('Ballast Calculator'!$D$61,'Drop down Options'!$BW$215:$BZ$248,4,FALSE)*Platforms!AF49/Platforms!L49</f>
        <v>0</v>
      </c>
      <c r="AU49">
        <v>0</v>
      </c>
      <c r="AV49">
        <f>VLOOKUP('Ballast Calculator'!$D$64,'Drop down Options'!$CF$253:$CI$272,4,FALSE)</f>
        <v>77</v>
      </c>
      <c r="AW49">
        <f>VLOOKUP('Ballast Calculator'!$D$67,'Drop down Options'!$CS$289:$CV$293,4,FALSE)*Platforms!AZ49/Platforms!L49</f>
        <v>-290.3957663957664</v>
      </c>
      <c r="AX49">
        <f>AW49+VLOOKUP('Ballast Calculator'!$D$67,'Drop down Options'!$CS$289:$CV$293,4,FALSE)</f>
        <v>329.6042336042336</v>
      </c>
      <c r="AY49">
        <f>VLOOKUP('Ballast Calculator'!$D$67,'Drop down Options'!$CS$289:$CV$293,4,FALSE)*(Platforms!AZ49+Platforms!L49)/Platforms!L49</f>
        <v>329.6042336042336</v>
      </c>
      <c r="AZ49">
        <f t="shared" si="4"/>
        <v>-1239.1</v>
      </c>
    </row>
    <row r="50" spans="1:52" ht="12.75">
      <c r="A50" s="52" t="str">
        <f t="shared" si="5"/>
        <v>6330PremiumMFWDPQ+</v>
      </c>
      <c r="B50">
        <v>48</v>
      </c>
      <c r="C50" t="s">
        <v>74</v>
      </c>
      <c r="D50" t="s">
        <v>71</v>
      </c>
      <c r="E50" t="s">
        <v>64</v>
      </c>
      <c r="F50" s="54" t="s">
        <v>69</v>
      </c>
      <c r="G50" s="53">
        <v>39870</v>
      </c>
      <c r="H50">
        <v>4700</v>
      </c>
      <c r="I50">
        <v>862.38532</v>
      </c>
      <c r="J50">
        <v>150</v>
      </c>
      <c r="K50">
        <v>400</v>
      </c>
      <c r="L50">
        <v>2645.5</v>
      </c>
      <c r="M50">
        <v>880</v>
      </c>
      <c r="N50">
        <v>9000</v>
      </c>
      <c r="O50">
        <v>5800</v>
      </c>
      <c r="P50">
        <v>6800</v>
      </c>
      <c r="Q50" s="52">
        <f t="shared" si="1"/>
        <v>1532.1152916272915</v>
      </c>
      <c r="R50" s="52">
        <f t="shared" si="2"/>
        <v>3167.8847083727087</v>
      </c>
      <c r="S50" s="52">
        <f t="shared" si="3"/>
        <v>3167.8847083727087</v>
      </c>
      <c r="T50">
        <v>-1239.4</v>
      </c>
      <c r="U50">
        <v>352.6</v>
      </c>
      <c r="V50" s="54">
        <v>1535</v>
      </c>
      <c r="W50" s="54">
        <v>983</v>
      </c>
      <c r="X50" t="s">
        <v>401</v>
      </c>
      <c r="Y50" t="s">
        <v>401</v>
      </c>
      <c r="Z50" t="s">
        <v>401</v>
      </c>
      <c r="AA50" t="s">
        <v>401</v>
      </c>
      <c r="AF50">
        <v>3303</v>
      </c>
      <c r="AG50">
        <f>VLOOKUP('Ballast Calculator'!$D$67,'Drop down Options'!$CS$289:$CV$293,4,FALSE)*Platforms!T50/Platforms!L50</f>
        <v>-290.4660744660745</v>
      </c>
      <c r="AH50">
        <f>VLOOKUP('Ballast Calculator'!$D$67,'Drop down Options'!$CS$289:$CV$293,4,FALSE)+(VLOOKUP('Ballast Calculator'!$D$67,'Drop down Options'!$CS$289:$CV$293,4,FALSE)*T50)/L50</f>
        <v>329.5339255339255</v>
      </c>
      <c r="AI50">
        <f>VLOOKUP('Ballast Calculator'!$D$67,'Drop down Options'!$CS$289:$CV$293,4,FALSE)*(Platforms!L50+Platforms!T50)/Platforms!L50</f>
        <v>329.5339255339255</v>
      </c>
      <c r="AJ50">
        <v>-942.7</v>
      </c>
      <c r="AK50">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50">
        <f>IF(VLOOKUP('Ballast Calculator'!$D$50,'Drop down Options'!$AN$202:$AQ$210,4,FALSE)="",0,Platforms!AK50)</f>
        <v>2494.5318654318653</v>
      </c>
      <c r="AM50">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50">
        <f>IF(VLOOKUP('Ballast Calculator'!$D$50,'Drop down Options'!$AN$202:$AQ$210,4,FALSE)="",0,Platforms!AM50)</f>
        <v>-1106.2318654318653</v>
      </c>
      <c r="AO50">
        <f>VLOOKUP('Ballast Calculator'!$D$54,'Drop down Options'!$CN$277:$CR$280,5,FALSE)*Platforms!AJ50/Platforms!L50</f>
        <v>0</v>
      </c>
      <c r="AP50" s="167">
        <f>VLOOKUP('Ballast Calculator'!$D$54,'Drop down Options'!$CN$277:$CR$280,5,FALSE)+VLOOKUP('Ballast Calculator'!$D$54,'Drop down Options'!$CN$277:$CR$280,5,FALSE)*Platforms!AJ50/Platforms!L50</f>
        <v>0</v>
      </c>
      <c r="AQ50" s="167">
        <f>VLOOKUP('Ballast Calculator'!$D$54,'Drop down Options'!$CN$277:$CR$280,5,FALSE)*(Platforms!AJ50+Platforms!L50)/Platforms!L50</f>
        <v>0</v>
      </c>
      <c r="AR50">
        <f>VLOOKUP('Ballast Calculator'!$D$61,'Drop down Options'!$BW$215:$BZ$248,4,FALSE)*(Platforms!L50+Platforms!AF50)/Platforms!L50</f>
        <v>0</v>
      </c>
      <c r="AS50" s="167">
        <f>-AR50+VLOOKUP('Ballast Calculator'!$D$61,'Drop down Options'!$BW$215:$BZ$248,4,FALSE)</f>
        <v>0</v>
      </c>
      <c r="AT50" s="167">
        <f>-VLOOKUP('Ballast Calculator'!$D$61,'Drop down Options'!$BW$215:$BZ$248,4,FALSE)*Platforms!AF50/Platforms!L50</f>
        <v>0</v>
      </c>
      <c r="AU50">
        <v>0</v>
      </c>
      <c r="AV50">
        <f>VLOOKUP('Ballast Calculator'!$D$64,'Drop down Options'!$CF$253:$CI$272,4,FALSE)</f>
        <v>77</v>
      </c>
      <c r="AW50">
        <f>VLOOKUP('Ballast Calculator'!$D$67,'Drop down Options'!$CS$289:$CV$293,4,FALSE)*Platforms!AZ50/Platforms!L50</f>
        <v>-290.3957663957664</v>
      </c>
      <c r="AX50">
        <f>AW50+VLOOKUP('Ballast Calculator'!$D$67,'Drop down Options'!$CS$289:$CV$293,4,FALSE)</f>
        <v>329.6042336042336</v>
      </c>
      <c r="AY50">
        <f>VLOOKUP('Ballast Calculator'!$D$67,'Drop down Options'!$CS$289:$CV$293,4,FALSE)*(Platforms!AZ50+Platforms!L50)/Platforms!L50</f>
        <v>329.6042336042336</v>
      </c>
      <c r="AZ50">
        <f t="shared" si="4"/>
        <v>-1239.1</v>
      </c>
    </row>
    <row r="51" spans="1:52" ht="12.75">
      <c r="A51" s="52" t="str">
        <f t="shared" si="5"/>
        <v>6330PremiumMFWDAQ+</v>
      </c>
      <c r="B51">
        <v>49</v>
      </c>
      <c r="C51" t="s">
        <v>74</v>
      </c>
      <c r="D51" t="s">
        <v>71</v>
      </c>
      <c r="E51" t="s">
        <v>64</v>
      </c>
      <c r="F51" s="54" t="s">
        <v>72</v>
      </c>
      <c r="G51" s="53">
        <v>39870</v>
      </c>
      <c r="H51">
        <v>4700</v>
      </c>
      <c r="I51">
        <v>862.38532</v>
      </c>
      <c r="J51">
        <v>150</v>
      </c>
      <c r="K51">
        <v>400</v>
      </c>
      <c r="L51">
        <v>2645.5</v>
      </c>
      <c r="M51">
        <v>880</v>
      </c>
      <c r="N51">
        <v>9000</v>
      </c>
      <c r="O51">
        <v>5800</v>
      </c>
      <c r="P51">
        <v>6800</v>
      </c>
      <c r="Q51" s="52">
        <f t="shared" si="1"/>
        <v>1532.1152916272915</v>
      </c>
      <c r="R51" s="52">
        <f t="shared" si="2"/>
        <v>3167.8847083727087</v>
      </c>
      <c r="S51" s="52">
        <f t="shared" si="3"/>
        <v>3167.8847083727087</v>
      </c>
      <c r="T51">
        <v>-1239.4</v>
      </c>
      <c r="U51">
        <v>352.6</v>
      </c>
      <c r="V51" s="54">
        <v>1535</v>
      </c>
      <c r="W51" s="54">
        <v>983</v>
      </c>
      <c r="X51" t="s">
        <v>401</v>
      </c>
      <c r="Y51" t="s">
        <v>401</v>
      </c>
      <c r="Z51" t="s">
        <v>401</v>
      </c>
      <c r="AA51" t="s">
        <v>401</v>
      </c>
      <c r="AF51">
        <v>3303</v>
      </c>
      <c r="AG51">
        <f>VLOOKUP('Ballast Calculator'!$D$67,'Drop down Options'!$CS$289:$CV$293,4,FALSE)*Platforms!T51/Platforms!L51</f>
        <v>-290.4660744660745</v>
      </c>
      <c r="AH51">
        <f>VLOOKUP('Ballast Calculator'!$D$67,'Drop down Options'!$CS$289:$CV$293,4,FALSE)+(VLOOKUP('Ballast Calculator'!$D$67,'Drop down Options'!$CS$289:$CV$293,4,FALSE)*T51)/L51</f>
        <v>329.5339255339255</v>
      </c>
      <c r="AI51">
        <f>VLOOKUP('Ballast Calculator'!$D$67,'Drop down Options'!$CS$289:$CV$293,4,FALSE)*(Platforms!L51+Platforms!T51)/Platforms!L51</f>
        <v>329.5339255339255</v>
      </c>
      <c r="AJ51">
        <v>-942.7</v>
      </c>
      <c r="AK51">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51">
        <f>IF(VLOOKUP('Ballast Calculator'!$D$50,'Drop down Options'!$AN$202:$AQ$210,4,FALSE)="",0,Platforms!AK51)</f>
        <v>2494.5318654318653</v>
      </c>
      <c r="AM51">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51">
        <f>IF(VLOOKUP('Ballast Calculator'!$D$50,'Drop down Options'!$AN$202:$AQ$210,4,FALSE)="",0,Platforms!AM51)</f>
        <v>-1106.2318654318653</v>
      </c>
      <c r="AO51">
        <f>VLOOKUP('Ballast Calculator'!$D$54,'Drop down Options'!$CN$277:$CR$280,5,FALSE)*Platforms!AJ51/Platforms!L51</f>
        <v>0</v>
      </c>
      <c r="AP51" s="167">
        <f>VLOOKUP('Ballast Calculator'!$D$54,'Drop down Options'!$CN$277:$CR$280,5,FALSE)+VLOOKUP('Ballast Calculator'!$D$54,'Drop down Options'!$CN$277:$CR$280,5,FALSE)*Platforms!AJ51/Platforms!L51</f>
        <v>0</v>
      </c>
      <c r="AQ51" s="167">
        <f>VLOOKUP('Ballast Calculator'!$D$54,'Drop down Options'!$CN$277:$CR$280,5,FALSE)*(Platforms!AJ51+Platforms!L51)/Platforms!L51</f>
        <v>0</v>
      </c>
      <c r="AR51">
        <f>VLOOKUP('Ballast Calculator'!$D$61,'Drop down Options'!$BW$215:$BZ$248,4,FALSE)*(Platforms!L51+Platforms!AF51)/Platforms!L51</f>
        <v>0</v>
      </c>
      <c r="AS51" s="167">
        <f>-AR51+VLOOKUP('Ballast Calculator'!$D$61,'Drop down Options'!$BW$215:$BZ$248,4,FALSE)</f>
        <v>0</v>
      </c>
      <c r="AT51" s="167">
        <f>-VLOOKUP('Ballast Calculator'!$D$61,'Drop down Options'!$BW$215:$BZ$248,4,FALSE)*Platforms!AF51/Platforms!L51</f>
        <v>0</v>
      </c>
      <c r="AU51">
        <v>0</v>
      </c>
      <c r="AV51">
        <f>VLOOKUP('Ballast Calculator'!$D$64,'Drop down Options'!$CF$253:$CI$272,4,FALSE)</f>
        <v>77</v>
      </c>
      <c r="AW51">
        <f>VLOOKUP('Ballast Calculator'!$D$67,'Drop down Options'!$CS$289:$CV$293,4,FALSE)*Platforms!AZ51/Platforms!L51</f>
        <v>-290.3957663957664</v>
      </c>
      <c r="AX51">
        <f>AW51+VLOOKUP('Ballast Calculator'!$D$67,'Drop down Options'!$CS$289:$CV$293,4,FALSE)</f>
        <v>329.6042336042336</v>
      </c>
      <c r="AY51">
        <f>VLOOKUP('Ballast Calculator'!$D$67,'Drop down Options'!$CS$289:$CV$293,4,FALSE)*(Platforms!AZ51+Platforms!L51)/Platforms!L51</f>
        <v>329.6042336042336</v>
      </c>
      <c r="AZ51">
        <f t="shared" si="4"/>
        <v>-1239.1</v>
      </c>
    </row>
    <row r="52" spans="1:52" ht="12.75">
      <c r="A52" s="52" t="str">
        <f t="shared" si="5"/>
        <v>6330PremiumMFWDIVT</v>
      </c>
      <c r="B52">
        <v>50</v>
      </c>
      <c r="C52" t="s">
        <v>74</v>
      </c>
      <c r="D52" t="s">
        <v>71</v>
      </c>
      <c r="E52" t="s">
        <v>64</v>
      </c>
      <c r="F52" s="54" t="s">
        <v>75</v>
      </c>
      <c r="G52" s="53">
        <v>39870</v>
      </c>
      <c r="H52">
        <v>4700</v>
      </c>
      <c r="I52">
        <v>862.38532</v>
      </c>
      <c r="J52">
        <v>150</v>
      </c>
      <c r="K52">
        <v>400</v>
      </c>
      <c r="L52">
        <v>2645.5</v>
      </c>
      <c r="M52">
        <v>880</v>
      </c>
      <c r="N52">
        <v>9000</v>
      </c>
      <c r="O52">
        <v>5800</v>
      </c>
      <c r="P52">
        <v>6800</v>
      </c>
      <c r="Q52" s="52">
        <f t="shared" si="1"/>
        <v>1532.1152916272915</v>
      </c>
      <c r="R52" s="52">
        <f t="shared" si="2"/>
        <v>3167.8847083727087</v>
      </c>
      <c r="S52" s="52">
        <f t="shared" si="3"/>
        <v>3167.8847083727087</v>
      </c>
      <c r="T52">
        <v>-1239.4</v>
      </c>
      <c r="U52">
        <v>352.6</v>
      </c>
      <c r="V52" s="54">
        <v>1535</v>
      </c>
      <c r="W52" s="54">
        <v>983</v>
      </c>
      <c r="X52" t="s">
        <v>401</v>
      </c>
      <c r="Y52" t="s">
        <v>401</v>
      </c>
      <c r="Z52" t="s">
        <v>401</v>
      </c>
      <c r="AA52" t="s">
        <v>401</v>
      </c>
      <c r="AF52">
        <v>3303</v>
      </c>
      <c r="AG52">
        <f>VLOOKUP('Ballast Calculator'!$D$67,'Drop down Options'!$CS$289:$CV$293,4,FALSE)*Platforms!T52/Platforms!L52</f>
        <v>-290.4660744660745</v>
      </c>
      <c r="AH52">
        <f>VLOOKUP('Ballast Calculator'!$D$67,'Drop down Options'!$CS$289:$CV$293,4,FALSE)+(VLOOKUP('Ballast Calculator'!$D$67,'Drop down Options'!$CS$289:$CV$293,4,FALSE)*T52)/L52</f>
        <v>329.5339255339255</v>
      </c>
      <c r="AI52">
        <f>VLOOKUP('Ballast Calculator'!$D$67,'Drop down Options'!$CS$289:$CV$293,4,FALSE)*(Platforms!L52+Platforms!T52)/Platforms!L52</f>
        <v>329.5339255339255</v>
      </c>
      <c r="AJ52">
        <v>-942.7</v>
      </c>
      <c r="AK52">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52">
        <f>IF(VLOOKUP('Ballast Calculator'!$D$50,'Drop down Options'!$AN$202:$AQ$210,4,FALSE)="",0,Platforms!AK52)</f>
        <v>2494.5318654318653</v>
      </c>
      <c r="AM52">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52">
        <f>IF(VLOOKUP('Ballast Calculator'!$D$50,'Drop down Options'!$AN$202:$AQ$210,4,FALSE)="",0,Platforms!AM52)</f>
        <v>-1106.2318654318653</v>
      </c>
      <c r="AO52">
        <f>VLOOKUP('Ballast Calculator'!$D$54,'Drop down Options'!$CN$277:$CR$280,5,FALSE)*Platforms!AJ52/Platforms!L52</f>
        <v>0</v>
      </c>
      <c r="AP52" s="167">
        <f>VLOOKUP('Ballast Calculator'!$D$54,'Drop down Options'!$CN$277:$CR$280,5,FALSE)+VLOOKUP('Ballast Calculator'!$D$54,'Drop down Options'!$CN$277:$CR$280,5,FALSE)*Platforms!AJ52/Platforms!L52</f>
        <v>0</v>
      </c>
      <c r="AQ52" s="167">
        <f>VLOOKUP('Ballast Calculator'!$D$54,'Drop down Options'!$CN$277:$CR$280,5,FALSE)*(Platforms!AJ52+Platforms!L52)/Platforms!L52</f>
        <v>0</v>
      </c>
      <c r="AR52">
        <f>VLOOKUP('Ballast Calculator'!$D$61,'Drop down Options'!$BW$215:$BZ$248,4,FALSE)*(Platforms!L52+Platforms!AF52)/Platforms!L52</f>
        <v>0</v>
      </c>
      <c r="AS52" s="167">
        <f>-AR52+VLOOKUP('Ballast Calculator'!$D$61,'Drop down Options'!$BW$215:$BZ$248,4,FALSE)</f>
        <v>0</v>
      </c>
      <c r="AT52" s="167">
        <f>-VLOOKUP('Ballast Calculator'!$D$61,'Drop down Options'!$BW$215:$BZ$248,4,FALSE)*Platforms!AF52/Platforms!L52</f>
        <v>0</v>
      </c>
      <c r="AU52">
        <v>0</v>
      </c>
      <c r="AV52">
        <f>VLOOKUP('Ballast Calculator'!$D$64,'Drop down Options'!$CF$253:$CI$272,4,FALSE)</f>
        <v>77</v>
      </c>
      <c r="AW52">
        <f>VLOOKUP('Ballast Calculator'!$D$67,'Drop down Options'!$CS$289:$CV$293,4,FALSE)*Platforms!AZ52/Platforms!L52</f>
        <v>-290.3957663957664</v>
      </c>
      <c r="AX52">
        <f>AW52+VLOOKUP('Ballast Calculator'!$D$67,'Drop down Options'!$CS$289:$CV$293,4,FALSE)</f>
        <v>329.6042336042336</v>
      </c>
      <c r="AY52">
        <f>VLOOKUP('Ballast Calculator'!$D$67,'Drop down Options'!$CS$289:$CV$293,4,FALSE)*(Platforms!AZ52+Platforms!L52)/Platforms!L52</f>
        <v>329.6042336042336</v>
      </c>
      <c r="AZ52">
        <f t="shared" si="4"/>
        <v>-1239.1</v>
      </c>
    </row>
    <row r="53" spans="1:52" ht="12.75">
      <c r="A53" s="52" t="str">
        <f t="shared" si="5"/>
        <v>6330PremiumMFWD TLSPQ+</v>
      </c>
      <c r="B53">
        <v>51</v>
      </c>
      <c r="C53" t="s">
        <v>74</v>
      </c>
      <c r="D53" t="s">
        <v>71</v>
      </c>
      <c r="E53" t="s">
        <v>73</v>
      </c>
      <c r="F53" s="54" t="s">
        <v>69</v>
      </c>
      <c r="G53" s="53">
        <v>39870</v>
      </c>
      <c r="H53">
        <v>4700</v>
      </c>
      <c r="I53">
        <v>862.38532</v>
      </c>
      <c r="J53">
        <v>150</v>
      </c>
      <c r="K53" s="54">
        <v>450</v>
      </c>
      <c r="L53" s="54">
        <v>2645.5</v>
      </c>
      <c r="M53">
        <v>880</v>
      </c>
      <c r="N53">
        <v>9000</v>
      </c>
      <c r="O53">
        <v>5800</v>
      </c>
      <c r="P53">
        <v>6800</v>
      </c>
      <c r="Q53" s="52">
        <f t="shared" si="1"/>
        <v>1532.1152916272915</v>
      </c>
      <c r="R53" s="52">
        <f t="shared" si="2"/>
        <v>3167.8847083727087</v>
      </c>
      <c r="S53" s="52">
        <f t="shared" si="3"/>
        <v>3167.8847083727087</v>
      </c>
      <c r="T53">
        <v>-1239.4</v>
      </c>
      <c r="U53">
        <v>352.6</v>
      </c>
      <c r="V53" s="54">
        <v>1535</v>
      </c>
      <c r="W53" s="54">
        <v>983</v>
      </c>
      <c r="X53" t="s">
        <v>401</v>
      </c>
      <c r="Y53" t="s">
        <v>401</v>
      </c>
      <c r="Z53" t="s">
        <v>401</v>
      </c>
      <c r="AA53" t="s">
        <v>401</v>
      </c>
      <c r="AF53">
        <v>3303</v>
      </c>
      <c r="AG53">
        <f>VLOOKUP('Ballast Calculator'!$D$67,'Drop down Options'!$CS$289:$CV$293,4,FALSE)*Platforms!T53/Platforms!L53</f>
        <v>-290.4660744660745</v>
      </c>
      <c r="AH53">
        <f>VLOOKUP('Ballast Calculator'!$D$67,'Drop down Options'!$CS$289:$CV$293,4,FALSE)+(VLOOKUP('Ballast Calculator'!$D$67,'Drop down Options'!$CS$289:$CV$293,4,FALSE)*T53)/L53</f>
        <v>329.5339255339255</v>
      </c>
      <c r="AI53">
        <f>VLOOKUP('Ballast Calculator'!$D$67,'Drop down Options'!$CS$289:$CV$293,4,FALSE)*(Platforms!L53+Platforms!T53)/Platforms!L53</f>
        <v>329.5339255339255</v>
      </c>
      <c r="AJ53">
        <v>-942.7</v>
      </c>
      <c r="AK53">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53">
        <f>IF(VLOOKUP('Ballast Calculator'!$D$50,'Drop down Options'!$AN$202:$AQ$210,4,FALSE)="",0,Platforms!AK53)</f>
        <v>2494.5318654318653</v>
      </c>
      <c r="AM53">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53">
        <f>IF(VLOOKUP('Ballast Calculator'!$D$50,'Drop down Options'!$AN$202:$AQ$210,4,FALSE)="",0,Platforms!AM53)</f>
        <v>-1106.2318654318653</v>
      </c>
      <c r="AO53">
        <f>VLOOKUP('Ballast Calculator'!$D$54,'Drop down Options'!$CN$277:$CR$280,5,FALSE)*Platforms!AJ53/Platforms!L53</f>
        <v>0</v>
      </c>
      <c r="AP53" s="167">
        <f>VLOOKUP('Ballast Calculator'!$D$54,'Drop down Options'!$CN$277:$CR$280,5,FALSE)+VLOOKUP('Ballast Calculator'!$D$54,'Drop down Options'!$CN$277:$CR$280,5,FALSE)*Platforms!AJ53/Platforms!L53</f>
        <v>0</v>
      </c>
      <c r="AQ53" s="167">
        <f>VLOOKUP('Ballast Calculator'!$D$54,'Drop down Options'!$CN$277:$CR$280,5,FALSE)*(Platforms!AJ53+Platforms!L53)/Platforms!L53</f>
        <v>0</v>
      </c>
      <c r="AR53">
        <f>VLOOKUP('Ballast Calculator'!$D$61,'Drop down Options'!$BW$215:$BZ$248,4,FALSE)*(Platforms!L53+Platforms!AF53)/Platforms!L53</f>
        <v>0</v>
      </c>
      <c r="AS53" s="167">
        <f>-AR53+VLOOKUP('Ballast Calculator'!$D$61,'Drop down Options'!$BW$215:$BZ$248,4,FALSE)</f>
        <v>0</v>
      </c>
      <c r="AT53" s="167">
        <f>-VLOOKUP('Ballast Calculator'!$D$61,'Drop down Options'!$BW$215:$BZ$248,4,FALSE)*Platforms!AF53/Platforms!L53</f>
        <v>0</v>
      </c>
      <c r="AU53">
        <v>0</v>
      </c>
      <c r="AV53">
        <f>VLOOKUP('Ballast Calculator'!$D$64,'Drop down Options'!$CF$253:$CI$272,4,FALSE)</f>
        <v>77</v>
      </c>
      <c r="AW53">
        <f>VLOOKUP('Ballast Calculator'!$D$67,'Drop down Options'!$CS$289:$CV$293,4,FALSE)*Platforms!AZ53/Platforms!L53</f>
        <v>-290.3957663957664</v>
      </c>
      <c r="AX53">
        <f>AW53+VLOOKUP('Ballast Calculator'!$D$67,'Drop down Options'!$CS$289:$CV$293,4,FALSE)</f>
        <v>329.6042336042336</v>
      </c>
      <c r="AY53">
        <f>VLOOKUP('Ballast Calculator'!$D$67,'Drop down Options'!$CS$289:$CV$293,4,FALSE)*(Platforms!AZ53+Platforms!L53)/Platforms!L53</f>
        <v>329.6042336042336</v>
      </c>
      <c r="AZ53">
        <f t="shared" si="4"/>
        <v>-1239.1</v>
      </c>
    </row>
    <row r="54" spans="1:52" ht="12.75">
      <c r="A54" s="52" t="str">
        <f t="shared" si="5"/>
        <v>6330PremiumMFWD TLSAQ+</v>
      </c>
      <c r="B54">
        <v>52</v>
      </c>
      <c r="C54" t="s">
        <v>74</v>
      </c>
      <c r="D54" t="s">
        <v>71</v>
      </c>
      <c r="E54" t="s">
        <v>73</v>
      </c>
      <c r="F54" s="54" t="s">
        <v>72</v>
      </c>
      <c r="G54" s="53">
        <v>39870</v>
      </c>
      <c r="H54">
        <v>4700</v>
      </c>
      <c r="I54">
        <v>862.38532</v>
      </c>
      <c r="J54">
        <v>150</v>
      </c>
      <c r="K54" s="54">
        <v>450</v>
      </c>
      <c r="L54" s="54">
        <v>2645.5</v>
      </c>
      <c r="M54">
        <v>880</v>
      </c>
      <c r="N54">
        <v>9000</v>
      </c>
      <c r="O54">
        <v>5800</v>
      </c>
      <c r="P54">
        <v>6800</v>
      </c>
      <c r="Q54" s="52">
        <f t="shared" si="1"/>
        <v>1532.1152916272915</v>
      </c>
      <c r="R54" s="52">
        <f t="shared" si="2"/>
        <v>3167.8847083727087</v>
      </c>
      <c r="S54" s="52">
        <f t="shared" si="3"/>
        <v>3167.8847083727087</v>
      </c>
      <c r="T54">
        <v>-1239.4</v>
      </c>
      <c r="U54">
        <v>352.6</v>
      </c>
      <c r="V54" s="54">
        <v>1535</v>
      </c>
      <c r="W54" s="54">
        <v>983</v>
      </c>
      <c r="X54" t="s">
        <v>401</v>
      </c>
      <c r="Y54" t="s">
        <v>401</v>
      </c>
      <c r="Z54" t="s">
        <v>401</v>
      </c>
      <c r="AA54" t="s">
        <v>401</v>
      </c>
      <c r="AF54">
        <v>3303</v>
      </c>
      <c r="AG54">
        <f>VLOOKUP('Ballast Calculator'!$D$67,'Drop down Options'!$CS$289:$CV$293,4,FALSE)*Platforms!T54/Platforms!L54</f>
        <v>-290.4660744660745</v>
      </c>
      <c r="AH54">
        <f>VLOOKUP('Ballast Calculator'!$D$67,'Drop down Options'!$CS$289:$CV$293,4,FALSE)+(VLOOKUP('Ballast Calculator'!$D$67,'Drop down Options'!$CS$289:$CV$293,4,FALSE)*T54)/L54</f>
        <v>329.5339255339255</v>
      </c>
      <c r="AI54">
        <f>VLOOKUP('Ballast Calculator'!$D$67,'Drop down Options'!$CS$289:$CV$293,4,FALSE)*(Platforms!L54+Platforms!T54)/Platforms!L54</f>
        <v>329.5339255339255</v>
      </c>
      <c r="AJ54">
        <v>-942.7</v>
      </c>
      <c r="AK54">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54">
        <f>IF(VLOOKUP('Ballast Calculator'!$D$50,'Drop down Options'!$AN$202:$AQ$210,4,FALSE)="",0,Platforms!AK54)</f>
        <v>2494.5318654318653</v>
      </c>
      <c r="AM54">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54">
        <f>IF(VLOOKUP('Ballast Calculator'!$D$50,'Drop down Options'!$AN$202:$AQ$210,4,FALSE)="",0,Platforms!AM54)</f>
        <v>-1106.2318654318653</v>
      </c>
      <c r="AO54">
        <f>VLOOKUP('Ballast Calculator'!$D$54,'Drop down Options'!$CN$277:$CR$280,5,FALSE)*Platforms!AJ54/Platforms!L54</f>
        <v>0</v>
      </c>
      <c r="AP54" s="167">
        <f>VLOOKUP('Ballast Calculator'!$D$54,'Drop down Options'!$CN$277:$CR$280,5,FALSE)+VLOOKUP('Ballast Calculator'!$D$54,'Drop down Options'!$CN$277:$CR$280,5,FALSE)*Platforms!AJ54/Platforms!L54</f>
        <v>0</v>
      </c>
      <c r="AQ54" s="167">
        <f>VLOOKUP('Ballast Calculator'!$D$54,'Drop down Options'!$CN$277:$CR$280,5,FALSE)*(Platforms!AJ54+Platforms!L54)/Platforms!L54</f>
        <v>0</v>
      </c>
      <c r="AR54">
        <f>VLOOKUP('Ballast Calculator'!$D$61,'Drop down Options'!$BW$215:$BZ$248,4,FALSE)*(Platforms!L54+Platforms!AF54)/Platforms!L54</f>
        <v>0</v>
      </c>
      <c r="AS54" s="167">
        <f>-AR54+VLOOKUP('Ballast Calculator'!$D$61,'Drop down Options'!$BW$215:$BZ$248,4,FALSE)</f>
        <v>0</v>
      </c>
      <c r="AT54" s="167">
        <f>-VLOOKUP('Ballast Calculator'!$D$61,'Drop down Options'!$BW$215:$BZ$248,4,FALSE)*Platforms!AF54/Platforms!L54</f>
        <v>0</v>
      </c>
      <c r="AU54">
        <v>0</v>
      </c>
      <c r="AV54">
        <f>VLOOKUP('Ballast Calculator'!$D$64,'Drop down Options'!$CF$253:$CI$272,4,FALSE)</f>
        <v>77</v>
      </c>
      <c r="AW54">
        <f>VLOOKUP('Ballast Calculator'!$D$67,'Drop down Options'!$CS$289:$CV$293,4,FALSE)*Platforms!AZ54/Platforms!L54</f>
        <v>-290.3957663957664</v>
      </c>
      <c r="AX54">
        <f>AW54+VLOOKUP('Ballast Calculator'!$D$67,'Drop down Options'!$CS$289:$CV$293,4,FALSE)</f>
        <v>329.6042336042336</v>
      </c>
      <c r="AY54">
        <f>VLOOKUP('Ballast Calculator'!$D$67,'Drop down Options'!$CS$289:$CV$293,4,FALSE)*(Platforms!AZ54+Platforms!L54)/Platforms!L54</f>
        <v>329.6042336042336</v>
      </c>
      <c r="AZ54">
        <f t="shared" si="4"/>
        <v>-1239.1</v>
      </c>
    </row>
    <row r="55" spans="1:52" ht="12.75">
      <c r="A55" s="52" t="str">
        <f t="shared" si="5"/>
        <v>6330PremiumMFWD TLSIVT</v>
      </c>
      <c r="B55">
        <v>53</v>
      </c>
      <c r="C55" t="s">
        <v>74</v>
      </c>
      <c r="D55" t="s">
        <v>71</v>
      </c>
      <c r="E55" t="s">
        <v>73</v>
      </c>
      <c r="F55" s="54" t="s">
        <v>75</v>
      </c>
      <c r="G55" s="53">
        <v>39870</v>
      </c>
      <c r="H55">
        <v>4700</v>
      </c>
      <c r="I55">
        <v>862.38532</v>
      </c>
      <c r="J55">
        <v>150</v>
      </c>
      <c r="K55" s="54">
        <v>450</v>
      </c>
      <c r="L55" s="54">
        <v>2645.5</v>
      </c>
      <c r="M55">
        <v>880</v>
      </c>
      <c r="N55">
        <v>9000</v>
      </c>
      <c r="O55">
        <v>5800</v>
      </c>
      <c r="P55">
        <v>6800</v>
      </c>
      <c r="Q55" s="52">
        <f t="shared" si="1"/>
        <v>1532.1152916272915</v>
      </c>
      <c r="R55" s="52">
        <f t="shared" si="2"/>
        <v>3167.8847083727087</v>
      </c>
      <c r="S55" s="52">
        <f t="shared" si="3"/>
        <v>3167.8847083727087</v>
      </c>
      <c r="T55">
        <v>-1239.4</v>
      </c>
      <c r="U55">
        <v>352.6</v>
      </c>
      <c r="V55" s="54">
        <v>1535</v>
      </c>
      <c r="W55" s="54">
        <v>983</v>
      </c>
      <c r="X55" t="s">
        <v>401</v>
      </c>
      <c r="Y55" t="s">
        <v>401</v>
      </c>
      <c r="Z55" t="s">
        <v>401</v>
      </c>
      <c r="AA55" t="s">
        <v>401</v>
      </c>
      <c r="AF55">
        <v>3303</v>
      </c>
      <c r="AG55">
        <f>VLOOKUP('Ballast Calculator'!$D$67,'Drop down Options'!$CS$289:$CV$293,4,FALSE)*Platforms!T55/Platforms!L55</f>
        <v>-290.4660744660745</v>
      </c>
      <c r="AH55">
        <f>VLOOKUP('Ballast Calculator'!$D$67,'Drop down Options'!$CS$289:$CV$293,4,FALSE)+(VLOOKUP('Ballast Calculator'!$D$67,'Drop down Options'!$CS$289:$CV$293,4,FALSE)*T55)/L55</f>
        <v>329.5339255339255</v>
      </c>
      <c r="AI55">
        <f>VLOOKUP('Ballast Calculator'!$D$67,'Drop down Options'!$CS$289:$CV$293,4,FALSE)*(Platforms!L55+Platforms!T55)/Platforms!L55</f>
        <v>329.5339255339255</v>
      </c>
      <c r="AJ55">
        <v>-942.7</v>
      </c>
      <c r="AK55">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55">
        <f>IF(VLOOKUP('Ballast Calculator'!$D$50,'Drop down Options'!$AN$202:$AQ$210,4,FALSE)="",0,Platforms!AK55)</f>
        <v>2494.5318654318653</v>
      </c>
      <c r="AM55">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55">
        <f>IF(VLOOKUP('Ballast Calculator'!$D$50,'Drop down Options'!$AN$202:$AQ$210,4,FALSE)="",0,Platforms!AM55)</f>
        <v>-1106.2318654318653</v>
      </c>
      <c r="AO55">
        <f>VLOOKUP('Ballast Calculator'!$D$54,'Drop down Options'!$CN$277:$CR$280,5,FALSE)*Platforms!AJ55/Platforms!L55</f>
        <v>0</v>
      </c>
      <c r="AP55" s="167">
        <f>VLOOKUP('Ballast Calculator'!$D$54,'Drop down Options'!$CN$277:$CR$280,5,FALSE)+VLOOKUP('Ballast Calculator'!$D$54,'Drop down Options'!$CN$277:$CR$280,5,FALSE)*Platforms!AJ55/Platforms!L55</f>
        <v>0</v>
      </c>
      <c r="AQ55" s="167">
        <f>VLOOKUP('Ballast Calculator'!$D$54,'Drop down Options'!$CN$277:$CR$280,5,FALSE)*(Platforms!AJ55+Platforms!L55)/Platforms!L55</f>
        <v>0</v>
      </c>
      <c r="AR55">
        <f>VLOOKUP('Ballast Calculator'!$D$61,'Drop down Options'!$BW$215:$BZ$248,4,FALSE)*(Platforms!L55+Platforms!AF55)/Platforms!L55</f>
        <v>0</v>
      </c>
      <c r="AS55" s="167">
        <f>-AR55+VLOOKUP('Ballast Calculator'!$D$61,'Drop down Options'!$BW$215:$BZ$248,4,FALSE)</f>
        <v>0</v>
      </c>
      <c r="AT55" s="167">
        <f>-VLOOKUP('Ballast Calculator'!$D$61,'Drop down Options'!$BW$215:$BZ$248,4,FALSE)*Platforms!AF55/Platforms!L55</f>
        <v>0</v>
      </c>
      <c r="AU55">
        <v>0</v>
      </c>
      <c r="AV55">
        <f>VLOOKUP('Ballast Calculator'!$D$64,'Drop down Options'!$CF$253:$CI$272,4,FALSE)</f>
        <v>77</v>
      </c>
      <c r="AW55">
        <f>VLOOKUP('Ballast Calculator'!$D$67,'Drop down Options'!$CS$289:$CV$293,4,FALSE)*Platforms!AZ55/Platforms!L55</f>
        <v>-290.3957663957664</v>
      </c>
      <c r="AX55">
        <f>AW55+VLOOKUP('Ballast Calculator'!$D$67,'Drop down Options'!$CS$289:$CV$293,4,FALSE)</f>
        <v>329.6042336042336</v>
      </c>
      <c r="AY55">
        <f>VLOOKUP('Ballast Calculator'!$D$67,'Drop down Options'!$CS$289:$CV$293,4,FALSE)*(Platforms!AZ55+Platforms!L55)/Platforms!L55</f>
        <v>329.6042336042336</v>
      </c>
      <c r="AZ55">
        <f t="shared" si="4"/>
        <v>-1239.1</v>
      </c>
    </row>
    <row r="56" spans="1:52" ht="12.75">
      <c r="A56" s="52" t="str">
        <f t="shared" si="5"/>
        <v>6430CAB2WDS+</v>
      </c>
      <c r="B56">
        <v>54</v>
      </c>
      <c r="C56" t="s">
        <v>76</v>
      </c>
      <c r="D56" t="s">
        <v>60</v>
      </c>
      <c r="E56" t="s">
        <v>6</v>
      </c>
      <c r="F56" t="s">
        <v>68</v>
      </c>
      <c r="G56" s="53">
        <v>39870</v>
      </c>
      <c r="H56">
        <v>4700</v>
      </c>
      <c r="I56">
        <v>862.38532</v>
      </c>
      <c r="J56">
        <v>744</v>
      </c>
      <c r="K56">
        <v>272.9</v>
      </c>
      <c r="L56">
        <v>2710</v>
      </c>
      <c r="M56">
        <v>880</v>
      </c>
      <c r="N56">
        <v>8200</v>
      </c>
      <c r="O56">
        <v>5000</v>
      </c>
      <c r="P56">
        <v>6500</v>
      </c>
      <c r="Q56" s="52">
        <f t="shared" si="1"/>
        <v>1495.6498169741697</v>
      </c>
      <c r="R56" s="52">
        <f t="shared" si="2"/>
        <v>3204.35018302583</v>
      </c>
      <c r="S56" s="52">
        <f t="shared" si="3"/>
        <v>3204.3501830258306</v>
      </c>
      <c r="T56">
        <v>-1239.4</v>
      </c>
      <c r="U56">
        <v>352.6</v>
      </c>
      <c r="V56" s="54">
        <v>1535</v>
      </c>
      <c r="W56" s="54">
        <v>983</v>
      </c>
      <c r="X56" t="s">
        <v>401</v>
      </c>
      <c r="Y56" t="s">
        <v>401</v>
      </c>
      <c r="Z56" t="s">
        <v>401</v>
      </c>
      <c r="AF56">
        <v>3303</v>
      </c>
      <c r="AG56">
        <f>VLOOKUP('Ballast Calculator'!$D$67,'Drop down Options'!$CS$289:$CV$293,4,FALSE)*Platforms!T56/Platforms!L56</f>
        <v>-283.55276752767526</v>
      </c>
      <c r="AH56">
        <f>VLOOKUP('Ballast Calculator'!$D$67,'Drop down Options'!$CS$289:$CV$293,4,FALSE)+(VLOOKUP('Ballast Calculator'!$D$67,'Drop down Options'!$CS$289:$CV$293,4,FALSE)*T56)/L56</f>
        <v>336.44723247232474</v>
      </c>
      <c r="AI56">
        <f>VLOOKUP('Ballast Calculator'!$D$67,'Drop down Options'!$CS$289:$CV$293,4,FALSE)*(Platforms!L56+Platforms!T56)/Platforms!L56</f>
        <v>336.44723247232474</v>
      </c>
      <c r="AJ56">
        <v>-942.7</v>
      </c>
      <c r="AK56">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56">
        <f>IF(VLOOKUP('Ballast Calculator'!$D$50,'Drop down Options'!$AN$202:$AQ$210,4,FALSE)="",0,Platforms!AK56)</f>
        <v>2494.5318654318653</v>
      </c>
      <c r="AM56">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56">
        <f>IF(VLOOKUP('Ballast Calculator'!$D$50,'Drop down Options'!$AN$202:$AQ$210,4,FALSE)="",0,Platforms!AM56)</f>
        <v>-1106.2318654318653</v>
      </c>
      <c r="AO56">
        <f>VLOOKUP('Ballast Calculator'!$D$54,'Drop down Options'!$CN$277:$CR$280,5,FALSE)*Platforms!AJ56/Platforms!L56</f>
        <v>0</v>
      </c>
      <c r="AP56" s="167">
        <f>VLOOKUP('Ballast Calculator'!$D$54,'Drop down Options'!$CN$277:$CR$280,5,FALSE)+VLOOKUP('Ballast Calculator'!$D$54,'Drop down Options'!$CN$277:$CR$280,5,FALSE)*Platforms!AJ56/Platforms!L56</f>
        <v>0</v>
      </c>
      <c r="AQ56" s="167">
        <f>VLOOKUP('Ballast Calculator'!$D$54,'Drop down Options'!$CN$277:$CR$280,5,FALSE)*(Platforms!AJ56+Platforms!L56)/Platforms!L56</f>
        <v>0</v>
      </c>
      <c r="AR56">
        <f>VLOOKUP('Ballast Calculator'!$D$61,'Drop down Options'!$BW$215:$BZ$248,4,FALSE)*(Platforms!L56+Platforms!AF56)/Platforms!L56</f>
        <v>0</v>
      </c>
      <c r="AS56" s="167">
        <f>-AR56+VLOOKUP('Ballast Calculator'!$D$61,'Drop down Options'!$BW$215:$BZ$248,4,FALSE)</f>
        <v>0</v>
      </c>
      <c r="AT56" s="167">
        <f>-VLOOKUP('Ballast Calculator'!$D$61,'Drop down Options'!$BW$215:$BZ$248,4,FALSE)*Platforms!AF56/Platforms!L56</f>
        <v>0</v>
      </c>
      <c r="AU56">
        <v>0</v>
      </c>
      <c r="AV56">
        <f>VLOOKUP('Ballast Calculator'!$D$64,'Drop down Options'!$CF$253:$CI$272,4,FALSE)</f>
        <v>77</v>
      </c>
      <c r="AW56">
        <f>VLOOKUP('Ballast Calculator'!$D$67,'Drop down Options'!$CS$289:$CV$293,4,FALSE)*Platforms!AZ56/Platforms!L56</f>
        <v>-283.4841328413284</v>
      </c>
      <c r="AX56">
        <f>AW56+VLOOKUP('Ballast Calculator'!$D$67,'Drop down Options'!$CS$289:$CV$293,4,FALSE)</f>
        <v>336.5158671586716</v>
      </c>
      <c r="AY56">
        <f>VLOOKUP('Ballast Calculator'!$D$67,'Drop down Options'!$CS$289:$CV$293,4,FALSE)*(Platforms!AZ56+Platforms!L56)/Platforms!L56</f>
        <v>336.5158671586716</v>
      </c>
      <c r="AZ56">
        <f t="shared" si="4"/>
        <v>-1239.1</v>
      </c>
    </row>
    <row r="57" spans="1:52" ht="12.75">
      <c r="A57" s="52" t="str">
        <f t="shared" si="5"/>
        <v>6430CAB2WDPQ+</v>
      </c>
      <c r="B57">
        <v>55</v>
      </c>
      <c r="C57" t="s">
        <v>76</v>
      </c>
      <c r="D57" t="s">
        <v>60</v>
      </c>
      <c r="E57" t="s">
        <v>6</v>
      </c>
      <c r="F57" t="s">
        <v>69</v>
      </c>
      <c r="G57" s="53">
        <v>39870</v>
      </c>
      <c r="H57">
        <v>4700</v>
      </c>
      <c r="I57">
        <v>862.38532</v>
      </c>
      <c r="J57">
        <v>744</v>
      </c>
      <c r="K57">
        <v>272.9</v>
      </c>
      <c r="L57">
        <v>2710</v>
      </c>
      <c r="M57">
        <v>880</v>
      </c>
      <c r="N57">
        <v>8200</v>
      </c>
      <c r="O57">
        <v>5000</v>
      </c>
      <c r="P57">
        <v>6500</v>
      </c>
      <c r="Q57" s="52">
        <f t="shared" si="1"/>
        <v>1495.6498169741697</v>
      </c>
      <c r="R57" s="52">
        <f t="shared" si="2"/>
        <v>3204.35018302583</v>
      </c>
      <c r="S57" s="52">
        <f t="shared" si="3"/>
        <v>3204.3501830258306</v>
      </c>
      <c r="T57">
        <v>-1239.4</v>
      </c>
      <c r="U57">
        <v>352.6</v>
      </c>
      <c r="V57" s="54">
        <v>1535</v>
      </c>
      <c r="W57" s="54">
        <v>983</v>
      </c>
      <c r="X57" t="s">
        <v>401</v>
      </c>
      <c r="Y57" t="s">
        <v>401</v>
      </c>
      <c r="Z57" t="s">
        <v>401</v>
      </c>
      <c r="AF57">
        <v>3303</v>
      </c>
      <c r="AG57">
        <f>VLOOKUP('Ballast Calculator'!$D$67,'Drop down Options'!$CS$289:$CV$293,4,FALSE)*Platforms!T57/Platforms!L57</f>
        <v>-283.55276752767526</v>
      </c>
      <c r="AH57">
        <f>VLOOKUP('Ballast Calculator'!$D$67,'Drop down Options'!$CS$289:$CV$293,4,FALSE)+(VLOOKUP('Ballast Calculator'!$D$67,'Drop down Options'!$CS$289:$CV$293,4,FALSE)*T57)/L57</f>
        <v>336.44723247232474</v>
      </c>
      <c r="AI57">
        <f>VLOOKUP('Ballast Calculator'!$D$67,'Drop down Options'!$CS$289:$CV$293,4,FALSE)*(Platforms!L57+Platforms!T57)/Platforms!L57</f>
        <v>336.44723247232474</v>
      </c>
      <c r="AJ57">
        <v>-942.7</v>
      </c>
      <c r="AK57">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57">
        <f>IF(VLOOKUP('Ballast Calculator'!$D$50,'Drop down Options'!$AN$202:$AQ$210,4,FALSE)="",0,Platforms!AK57)</f>
        <v>2494.5318654318653</v>
      </c>
      <c r="AM57">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57">
        <f>IF(VLOOKUP('Ballast Calculator'!$D$50,'Drop down Options'!$AN$202:$AQ$210,4,FALSE)="",0,Platforms!AM57)</f>
        <v>-1106.2318654318653</v>
      </c>
      <c r="AO57">
        <f>VLOOKUP('Ballast Calculator'!$D$54,'Drop down Options'!$CN$277:$CR$280,5,FALSE)*Platforms!AJ57/Platforms!L57</f>
        <v>0</v>
      </c>
      <c r="AP57" s="167">
        <f>VLOOKUP('Ballast Calculator'!$D$54,'Drop down Options'!$CN$277:$CR$280,5,FALSE)+VLOOKUP('Ballast Calculator'!$D$54,'Drop down Options'!$CN$277:$CR$280,5,FALSE)*Platforms!AJ57/Platforms!L57</f>
        <v>0</v>
      </c>
      <c r="AQ57" s="167">
        <f>VLOOKUP('Ballast Calculator'!$D$54,'Drop down Options'!$CN$277:$CR$280,5,FALSE)*(Platforms!AJ57+Platforms!L57)/Platforms!L57</f>
        <v>0</v>
      </c>
      <c r="AR57">
        <f>VLOOKUP('Ballast Calculator'!$D$61,'Drop down Options'!$BW$215:$BZ$248,4,FALSE)*(Platforms!L57+Platforms!AF57)/Platforms!L57</f>
        <v>0</v>
      </c>
      <c r="AS57" s="167">
        <f>-AR57+VLOOKUP('Ballast Calculator'!$D$61,'Drop down Options'!$BW$215:$BZ$248,4,FALSE)</f>
        <v>0</v>
      </c>
      <c r="AT57" s="167">
        <f>-VLOOKUP('Ballast Calculator'!$D$61,'Drop down Options'!$BW$215:$BZ$248,4,FALSE)*Platforms!AF57/Platforms!L57</f>
        <v>0</v>
      </c>
      <c r="AU57">
        <v>0</v>
      </c>
      <c r="AV57">
        <f>VLOOKUP('Ballast Calculator'!$D$64,'Drop down Options'!$CF$253:$CI$272,4,FALSE)</f>
        <v>77</v>
      </c>
      <c r="AW57">
        <f>VLOOKUP('Ballast Calculator'!$D$67,'Drop down Options'!$CS$289:$CV$293,4,FALSE)*Platforms!AZ57/Platforms!L57</f>
        <v>-283.4841328413284</v>
      </c>
      <c r="AX57">
        <f>AW57+VLOOKUP('Ballast Calculator'!$D$67,'Drop down Options'!$CS$289:$CV$293,4,FALSE)</f>
        <v>336.5158671586716</v>
      </c>
      <c r="AY57">
        <f>VLOOKUP('Ballast Calculator'!$D$67,'Drop down Options'!$CS$289:$CV$293,4,FALSE)*(Platforms!AZ57+Platforms!L57)/Platforms!L57</f>
        <v>336.5158671586716</v>
      </c>
      <c r="AZ57">
        <f t="shared" si="4"/>
        <v>-1239.1</v>
      </c>
    </row>
    <row r="58" spans="1:52" ht="12.75">
      <c r="A58" s="52" t="str">
        <f t="shared" si="5"/>
        <v>6430OOS2WDS+</v>
      </c>
      <c r="B58">
        <v>56</v>
      </c>
      <c r="C58" t="s">
        <v>76</v>
      </c>
      <c r="D58" t="s">
        <v>63</v>
      </c>
      <c r="E58" t="s">
        <v>6</v>
      </c>
      <c r="F58" s="54" t="s">
        <v>68</v>
      </c>
      <c r="G58" s="53">
        <v>39870</v>
      </c>
      <c r="H58">
        <v>4200</v>
      </c>
      <c r="I58">
        <v>862.38532</v>
      </c>
      <c r="J58">
        <v>744</v>
      </c>
      <c r="K58">
        <v>272.9</v>
      </c>
      <c r="L58">
        <v>2710</v>
      </c>
      <c r="M58">
        <v>880</v>
      </c>
      <c r="N58">
        <v>8200</v>
      </c>
      <c r="O58">
        <v>5000</v>
      </c>
      <c r="P58">
        <v>6500</v>
      </c>
      <c r="Q58" s="52">
        <f t="shared" si="1"/>
        <v>1336.5381343173433</v>
      </c>
      <c r="R58" s="52">
        <f t="shared" si="2"/>
        <v>2863.461865682657</v>
      </c>
      <c r="S58" s="52">
        <f t="shared" si="3"/>
        <v>2863.461865682657</v>
      </c>
      <c r="T58">
        <v>-1239.4</v>
      </c>
      <c r="U58">
        <v>352.6</v>
      </c>
      <c r="V58" s="54">
        <v>1535</v>
      </c>
      <c r="W58" s="54">
        <v>983</v>
      </c>
      <c r="X58" t="s">
        <v>401</v>
      </c>
      <c r="Y58" t="s">
        <v>401</v>
      </c>
      <c r="Z58" t="s">
        <v>401</v>
      </c>
      <c r="AF58">
        <v>3303</v>
      </c>
      <c r="AG58">
        <f>VLOOKUP('Ballast Calculator'!$D$67,'Drop down Options'!$CS$289:$CV$293,4,FALSE)*Platforms!T58/Platforms!L58</f>
        <v>-283.55276752767526</v>
      </c>
      <c r="AH58">
        <f>VLOOKUP('Ballast Calculator'!$D$67,'Drop down Options'!$CS$289:$CV$293,4,FALSE)+(VLOOKUP('Ballast Calculator'!$D$67,'Drop down Options'!$CS$289:$CV$293,4,FALSE)*T58)/L58</f>
        <v>336.44723247232474</v>
      </c>
      <c r="AI58">
        <f>VLOOKUP('Ballast Calculator'!$D$67,'Drop down Options'!$CS$289:$CV$293,4,FALSE)*(Platforms!L58+Platforms!T58)/Platforms!L58</f>
        <v>336.44723247232474</v>
      </c>
      <c r="AJ58">
        <v>-942.7</v>
      </c>
      <c r="AK58">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58">
        <f>IF(VLOOKUP('Ballast Calculator'!$D$50,'Drop down Options'!$AN$202:$AQ$210,4,FALSE)="",0,Platforms!AK58)</f>
        <v>2494.5318654318653</v>
      </c>
      <c r="AM58">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58">
        <f>IF(VLOOKUP('Ballast Calculator'!$D$50,'Drop down Options'!$AN$202:$AQ$210,4,FALSE)="",0,Platforms!AM58)</f>
        <v>-1106.2318654318653</v>
      </c>
      <c r="AO58">
        <f>VLOOKUP('Ballast Calculator'!$D$54,'Drop down Options'!$CN$277:$CR$280,5,FALSE)*Platforms!AJ58/Platforms!L58</f>
        <v>0</v>
      </c>
      <c r="AP58" s="167">
        <f>VLOOKUP('Ballast Calculator'!$D$54,'Drop down Options'!$CN$277:$CR$280,5,FALSE)+VLOOKUP('Ballast Calculator'!$D$54,'Drop down Options'!$CN$277:$CR$280,5,FALSE)*Platforms!AJ58/Platforms!L58</f>
        <v>0</v>
      </c>
      <c r="AQ58" s="167">
        <f>VLOOKUP('Ballast Calculator'!$D$54,'Drop down Options'!$CN$277:$CR$280,5,FALSE)*(Platforms!AJ58+Platforms!L58)/Platforms!L58</f>
        <v>0</v>
      </c>
      <c r="AR58">
        <f>VLOOKUP('Ballast Calculator'!$D$61,'Drop down Options'!$BW$215:$BZ$248,4,FALSE)*(Platforms!L58+Platforms!AF58)/Platforms!L58</f>
        <v>0</v>
      </c>
      <c r="AS58" s="167">
        <f>-AR58+VLOOKUP('Ballast Calculator'!$D$61,'Drop down Options'!$BW$215:$BZ$248,4,FALSE)</f>
        <v>0</v>
      </c>
      <c r="AT58" s="167">
        <f>-VLOOKUP('Ballast Calculator'!$D$61,'Drop down Options'!$BW$215:$BZ$248,4,FALSE)*Platforms!AF58/Platforms!L58</f>
        <v>0</v>
      </c>
      <c r="AU58">
        <v>0</v>
      </c>
      <c r="AV58">
        <f>VLOOKUP('Ballast Calculator'!$D$64,'Drop down Options'!$CF$253:$CI$272,4,FALSE)</f>
        <v>77</v>
      </c>
      <c r="AW58">
        <f>VLOOKUP('Ballast Calculator'!$D$67,'Drop down Options'!$CS$289:$CV$293,4,FALSE)*Platforms!AZ58/Platforms!L58</f>
        <v>-283.4841328413284</v>
      </c>
      <c r="AX58">
        <f>AW58+VLOOKUP('Ballast Calculator'!$D$67,'Drop down Options'!$CS$289:$CV$293,4,FALSE)</f>
        <v>336.5158671586716</v>
      </c>
      <c r="AY58">
        <f>VLOOKUP('Ballast Calculator'!$D$67,'Drop down Options'!$CS$289:$CV$293,4,FALSE)*(Platforms!AZ58+Platforms!L58)/Platforms!L58</f>
        <v>336.5158671586716</v>
      </c>
      <c r="AZ58">
        <f t="shared" si="4"/>
        <v>-1239.1</v>
      </c>
    </row>
    <row r="59" spans="1:52" ht="12.75">
      <c r="A59" s="52" t="str">
        <f t="shared" si="5"/>
        <v>6430OOS2WDPQ</v>
      </c>
      <c r="B59">
        <v>57</v>
      </c>
      <c r="C59" t="s">
        <v>76</v>
      </c>
      <c r="D59" t="s">
        <v>63</v>
      </c>
      <c r="E59" t="s">
        <v>6</v>
      </c>
      <c r="F59" s="54" t="s">
        <v>70</v>
      </c>
      <c r="G59" s="53">
        <v>39870</v>
      </c>
      <c r="H59">
        <v>4200</v>
      </c>
      <c r="I59">
        <v>862.38532</v>
      </c>
      <c r="J59">
        <v>744</v>
      </c>
      <c r="K59">
        <v>272.9</v>
      </c>
      <c r="L59">
        <v>2710</v>
      </c>
      <c r="M59">
        <v>880</v>
      </c>
      <c r="N59">
        <v>8200</v>
      </c>
      <c r="O59">
        <v>5000</v>
      </c>
      <c r="P59">
        <v>6500</v>
      </c>
      <c r="Q59" s="52">
        <f t="shared" si="1"/>
        <v>1336.5381343173433</v>
      </c>
      <c r="R59" s="52">
        <f t="shared" si="2"/>
        <v>2863.461865682657</v>
      </c>
      <c r="S59" s="52">
        <f t="shared" si="3"/>
        <v>2863.461865682657</v>
      </c>
      <c r="T59">
        <v>-1239.4</v>
      </c>
      <c r="U59">
        <v>352.6</v>
      </c>
      <c r="V59" s="54">
        <v>1535</v>
      </c>
      <c r="W59" s="54">
        <v>983</v>
      </c>
      <c r="X59" t="s">
        <v>401</v>
      </c>
      <c r="Y59" t="s">
        <v>401</v>
      </c>
      <c r="Z59" t="s">
        <v>401</v>
      </c>
      <c r="AF59">
        <v>3303</v>
      </c>
      <c r="AG59">
        <f>VLOOKUP('Ballast Calculator'!$D$67,'Drop down Options'!$CS$289:$CV$293,4,FALSE)*Platforms!T59/Platforms!L59</f>
        <v>-283.55276752767526</v>
      </c>
      <c r="AH59">
        <f>VLOOKUP('Ballast Calculator'!$D$67,'Drop down Options'!$CS$289:$CV$293,4,FALSE)+(VLOOKUP('Ballast Calculator'!$D$67,'Drop down Options'!$CS$289:$CV$293,4,FALSE)*T59)/L59</f>
        <v>336.44723247232474</v>
      </c>
      <c r="AI59">
        <f>VLOOKUP('Ballast Calculator'!$D$67,'Drop down Options'!$CS$289:$CV$293,4,FALSE)*(Platforms!L59+Platforms!T59)/Platforms!L59</f>
        <v>336.44723247232474</v>
      </c>
      <c r="AJ59">
        <v>-942.7</v>
      </c>
      <c r="AK59">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59">
        <f>IF(VLOOKUP('Ballast Calculator'!$D$50,'Drop down Options'!$AN$202:$AQ$210,4,FALSE)="",0,Platforms!AK59)</f>
        <v>2494.5318654318653</v>
      </c>
      <c r="AM59">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59">
        <f>IF(VLOOKUP('Ballast Calculator'!$D$50,'Drop down Options'!$AN$202:$AQ$210,4,FALSE)="",0,Platforms!AM59)</f>
        <v>-1106.2318654318653</v>
      </c>
      <c r="AO59">
        <f>VLOOKUP('Ballast Calculator'!$D$54,'Drop down Options'!$CN$277:$CR$280,5,FALSE)*Platforms!AJ59/Platforms!L59</f>
        <v>0</v>
      </c>
      <c r="AP59" s="167">
        <f>VLOOKUP('Ballast Calculator'!$D$54,'Drop down Options'!$CN$277:$CR$280,5,FALSE)+VLOOKUP('Ballast Calculator'!$D$54,'Drop down Options'!$CN$277:$CR$280,5,FALSE)*Platforms!AJ59/Platforms!L59</f>
        <v>0</v>
      </c>
      <c r="AQ59" s="167">
        <f>VLOOKUP('Ballast Calculator'!$D$54,'Drop down Options'!$CN$277:$CR$280,5,FALSE)*(Platforms!AJ59+Platforms!L59)/Platforms!L59</f>
        <v>0</v>
      </c>
      <c r="AR59">
        <f>VLOOKUP('Ballast Calculator'!$D$61,'Drop down Options'!$BW$215:$BZ$248,4,FALSE)*(Platforms!L59+Platforms!AF59)/Platforms!L59</f>
        <v>0</v>
      </c>
      <c r="AS59" s="167">
        <f>-AR59+VLOOKUP('Ballast Calculator'!$D$61,'Drop down Options'!$BW$215:$BZ$248,4,FALSE)</f>
        <v>0</v>
      </c>
      <c r="AT59" s="167">
        <f>-VLOOKUP('Ballast Calculator'!$D$61,'Drop down Options'!$BW$215:$BZ$248,4,FALSE)*Platforms!AF59/Platforms!L59</f>
        <v>0</v>
      </c>
      <c r="AU59">
        <v>0</v>
      </c>
      <c r="AV59">
        <f>VLOOKUP('Ballast Calculator'!$D$64,'Drop down Options'!$CF$253:$CI$272,4,FALSE)</f>
        <v>77</v>
      </c>
      <c r="AW59">
        <f>VLOOKUP('Ballast Calculator'!$D$67,'Drop down Options'!$CS$289:$CV$293,4,FALSE)*Platforms!AZ59/Platforms!L59</f>
        <v>-283.4841328413284</v>
      </c>
      <c r="AX59">
        <f>AW59+VLOOKUP('Ballast Calculator'!$D$67,'Drop down Options'!$CS$289:$CV$293,4,FALSE)</f>
        <v>336.5158671586716</v>
      </c>
      <c r="AY59">
        <f>VLOOKUP('Ballast Calculator'!$D$67,'Drop down Options'!$CS$289:$CV$293,4,FALSE)*(Platforms!AZ59+Platforms!L59)/Platforms!L59</f>
        <v>336.5158671586716</v>
      </c>
      <c r="AZ59">
        <f t="shared" si="4"/>
        <v>-1239.1</v>
      </c>
    </row>
    <row r="60" spans="1:52" ht="12.75">
      <c r="A60" s="52" t="str">
        <f t="shared" si="5"/>
        <v>6430Premium2WDPQ+</v>
      </c>
      <c r="B60">
        <v>58</v>
      </c>
      <c r="C60" t="s">
        <v>76</v>
      </c>
      <c r="D60" t="s">
        <v>71</v>
      </c>
      <c r="E60" t="s">
        <v>6</v>
      </c>
      <c r="F60" t="s">
        <v>69</v>
      </c>
      <c r="G60" s="53">
        <v>39870</v>
      </c>
      <c r="H60">
        <v>4800</v>
      </c>
      <c r="I60">
        <v>862.38532</v>
      </c>
      <c r="J60">
        <v>744</v>
      </c>
      <c r="K60">
        <v>293.7</v>
      </c>
      <c r="L60">
        <v>2846</v>
      </c>
      <c r="M60">
        <v>880</v>
      </c>
      <c r="N60">
        <v>9000</v>
      </c>
      <c r="O60">
        <v>5000</v>
      </c>
      <c r="P60">
        <v>6800</v>
      </c>
      <c r="Q60" s="52">
        <f t="shared" si="1"/>
        <v>1454.4798088545326</v>
      </c>
      <c r="R60" s="52">
        <f t="shared" si="2"/>
        <v>3345.5201911454674</v>
      </c>
      <c r="S60" s="52">
        <f t="shared" si="3"/>
        <v>3345.520191145468</v>
      </c>
      <c r="T60">
        <v>-1239.4</v>
      </c>
      <c r="U60">
        <v>352.6</v>
      </c>
      <c r="V60" s="54">
        <v>1535</v>
      </c>
      <c r="W60" s="54">
        <v>983</v>
      </c>
      <c r="X60" t="s">
        <v>401</v>
      </c>
      <c r="Y60" t="s">
        <v>401</v>
      </c>
      <c r="Z60" t="s">
        <v>401</v>
      </c>
      <c r="AF60">
        <v>3303</v>
      </c>
      <c r="AG60">
        <f>VLOOKUP('Ballast Calculator'!$D$67,'Drop down Options'!$CS$289:$CV$293,4,FALSE)*Platforms!T60/Platforms!L60</f>
        <v>-270.0028109627547</v>
      </c>
      <c r="AH60">
        <f>VLOOKUP('Ballast Calculator'!$D$67,'Drop down Options'!$CS$289:$CV$293,4,FALSE)+(VLOOKUP('Ballast Calculator'!$D$67,'Drop down Options'!$CS$289:$CV$293,4,FALSE)*T60)/L60</f>
        <v>349.9971890372453</v>
      </c>
      <c r="AI60">
        <f>VLOOKUP('Ballast Calculator'!$D$67,'Drop down Options'!$CS$289:$CV$293,4,FALSE)*(Platforms!L60+Platforms!T60)/Platforms!L60</f>
        <v>349.9971890372453</v>
      </c>
      <c r="AJ60">
        <v>-942.7</v>
      </c>
      <c r="AK60">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60">
        <f>IF(VLOOKUP('Ballast Calculator'!$D$50,'Drop down Options'!$AN$202:$AQ$210,4,FALSE)="",0,Platforms!AK60)</f>
        <v>2494.5318654318653</v>
      </c>
      <c r="AM60">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60">
        <f>IF(VLOOKUP('Ballast Calculator'!$D$50,'Drop down Options'!$AN$202:$AQ$210,4,FALSE)="",0,Platforms!AM60)</f>
        <v>-1106.2318654318653</v>
      </c>
      <c r="AO60">
        <f>VLOOKUP('Ballast Calculator'!$D$54,'Drop down Options'!$CN$277:$CR$280,5,FALSE)*Platforms!AJ60/Platforms!L60</f>
        <v>0</v>
      </c>
      <c r="AP60" s="167">
        <f>VLOOKUP('Ballast Calculator'!$D$54,'Drop down Options'!$CN$277:$CR$280,5,FALSE)+VLOOKUP('Ballast Calculator'!$D$54,'Drop down Options'!$CN$277:$CR$280,5,FALSE)*Platforms!AJ60/Platforms!L60</f>
        <v>0</v>
      </c>
      <c r="AQ60" s="167">
        <f>VLOOKUP('Ballast Calculator'!$D$54,'Drop down Options'!$CN$277:$CR$280,5,FALSE)*(Platforms!AJ60+Platforms!L60)/Platforms!L60</f>
        <v>0</v>
      </c>
      <c r="AR60">
        <f>VLOOKUP('Ballast Calculator'!$D$61,'Drop down Options'!$BW$215:$BZ$248,4,FALSE)*(Platforms!L60+Platforms!AF60)/Platforms!L60</f>
        <v>0</v>
      </c>
      <c r="AS60" s="167">
        <f>-AR60+VLOOKUP('Ballast Calculator'!$D$61,'Drop down Options'!$BW$215:$BZ$248,4,FALSE)</f>
        <v>0</v>
      </c>
      <c r="AT60" s="167">
        <f>-VLOOKUP('Ballast Calculator'!$D$61,'Drop down Options'!$BW$215:$BZ$248,4,FALSE)*Platforms!AF60/Platforms!L60</f>
        <v>0</v>
      </c>
      <c r="AU60">
        <v>0</v>
      </c>
      <c r="AV60">
        <f>VLOOKUP('Ballast Calculator'!$D$64,'Drop down Options'!$CF$253:$CI$272,4,FALSE)</f>
        <v>77</v>
      </c>
      <c r="AW60">
        <f>VLOOKUP('Ballast Calculator'!$D$67,'Drop down Options'!$CS$289:$CV$293,4,FALSE)*Platforms!AZ60/Platforms!L60</f>
        <v>-269.93745607870693</v>
      </c>
      <c r="AX60">
        <f>AW60+VLOOKUP('Ballast Calculator'!$D$67,'Drop down Options'!$CS$289:$CV$293,4,FALSE)</f>
        <v>350.06254392129307</v>
      </c>
      <c r="AY60">
        <f>VLOOKUP('Ballast Calculator'!$D$67,'Drop down Options'!$CS$289:$CV$293,4,FALSE)*(Platforms!AZ60+Platforms!L60)/Platforms!L60</f>
        <v>350.06254392129307</v>
      </c>
      <c r="AZ60">
        <f t="shared" si="4"/>
        <v>-1239.1</v>
      </c>
    </row>
    <row r="61" spans="1:52" ht="12.75">
      <c r="A61" s="52" t="str">
        <f t="shared" si="5"/>
        <v>6430Premium2WDAQ+</v>
      </c>
      <c r="B61">
        <v>59</v>
      </c>
      <c r="C61" t="s">
        <v>76</v>
      </c>
      <c r="D61" t="s">
        <v>71</v>
      </c>
      <c r="E61" t="s">
        <v>6</v>
      </c>
      <c r="F61" t="s">
        <v>72</v>
      </c>
      <c r="G61" s="53">
        <v>39870</v>
      </c>
      <c r="H61">
        <v>4800</v>
      </c>
      <c r="I61">
        <v>862.38532</v>
      </c>
      <c r="J61">
        <v>744</v>
      </c>
      <c r="K61">
        <v>293.7</v>
      </c>
      <c r="L61">
        <v>2846</v>
      </c>
      <c r="M61">
        <v>880</v>
      </c>
      <c r="N61">
        <v>9000</v>
      </c>
      <c r="O61">
        <v>5000</v>
      </c>
      <c r="P61">
        <v>6800</v>
      </c>
      <c r="Q61" s="52">
        <f t="shared" si="1"/>
        <v>1454.4798088545326</v>
      </c>
      <c r="R61" s="52">
        <f t="shared" si="2"/>
        <v>3345.5201911454674</v>
      </c>
      <c r="S61" s="52">
        <f t="shared" si="3"/>
        <v>3345.520191145468</v>
      </c>
      <c r="T61">
        <v>-1239.4</v>
      </c>
      <c r="U61">
        <v>352.6</v>
      </c>
      <c r="V61" s="54">
        <v>1535</v>
      </c>
      <c r="W61" s="54">
        <v>983</v>
      </c>
      <c r="X61" t="s">
        <v>401</v>
      </c>
      <c r="Y61" t="s">
        <v>401</v>
      </c>
      <c r="Z61" t="s">
        <v>401</v>
      </c>
      <c r="AF61">
        <v>3303</v>
      </c>
      <c r="AG61">
        <f>VLOOKUP('Ballast Calculator'!$D$67,'Drop down Options'!$CS$289:$CV$293,4,FALSE)*Platforms!T61/Platforms!L61</f>
        <v>-270.0028109627547</v>
      </c>
      <c r="AH61">
        <f>VLOOKUP('Ballast Calculator'!$D$67,'Drop down Options'!$CS$289:$CV$293,4,FALSE)+(VLOOKUP('Ballast Calculator'!$D$67,'Drop down Options'!$CS$289:$CV$293,4,FALSE)*T61)/L61</f>
        <v>349.9971890372453</v>
      </c>
      <c r="AI61">
        <f>VLOOKUP('Ballast Calculator'!$D$67,'Drop down Options'!$CS$289:$CV$293,4,FALSE)*(Platforms!L61+Platforms!T61)/Platforms!L61</f>
        <v>349.9971890372453</v>
      </c>
      <c r="AJ61">
        <v>-942.7</v>
      </c>
      <c r="AK61">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61">
        <f>IF(VLOOKUP('Ballast Calculator'!$D$50,'Drop down Options'!$AN$202:$AQ$210,4,FALSE)="",0,Platforms!AK61)</f>
        <v>2494.5318654318653</v>
      </c>
      <c r="AM61">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61">
        <f>IF(VLOOKUP('Ballast Calculator'!$D$50,'Drop down Options'!$AN$202:$AQ$210,4,FALSE)="",0,Platforms!AM61)</f>
        <v>-1106.2318654318653</v>
      </c>
      <c r="AO61">
        <f>VLOOKUP('Ballast Calculator'!$D$54,'Drop down Options'!$CN$277:$CR$280,5,FALSE)*Platforms!AJ61/Platforms!L61</f>
        <v>0</v>
      </c>
      <c r="AP61" s="167">
        <f>VLOOKUP('Ballast Calculator'!$D$54,'Drop down Options'!$CN$277:$CR$280,5,FALSE)+VLOOKUP('Ballast Calculator'!$D$54,'Drop down Options'!$CN$277:$CR$280,5,FALSE)*Platforms!AJ61/Platforms!L61</f>
        <v>0</v>
      </c>
      <c r="AQ61" s="167">
        <f>VLOOKUP('Ballast Calculator'!$D$54,'Drop down Options'!$CN$277:$CR$280,5,FALSE)*(Platforms!AJ61+Platforms!L61)/Platforms!L61</f>
        <v>0</v>
      </c>
      <c r="AR61">
        <f>VLOOKUP('Ballast Calculator'!$D$61,'Drop down Options'!$BW$215:$BZ$248,4,FALSE)*(Platforms!L61+Platforms!AF61)/Platforms!L61</f>
        <v>0</v>
      </c>
      <c r="AS61" s="167">
        <f>-AR61+VLOOKUP('Ballast Calculator'!$D$61,'Drop down Options'!$BW$215:$BZ$248,4,FALSE)</f>
        <v>0</v>
      </c>
      <c r="AT61" s="167">
        <f>-VLOOKUP('Ballast Calculator'!$D$61,'Drop down Options'!$BW$215:$BZ$248,4,FALSE)*Platforms!AF61/Platforms!L61</f>
        <v>0</v>
      </c>
      <c r="AU61">
        <v>0</v>
      </c>
      <c r="AV61">
        <f>VLOOKUP('Ballast Calculator'!$D$64,'Drop down Options'!$CF$253:$CI$272,4,FALSE)</f>
        <v>77</v>
      </c>
      <c r="AW61">
        <f>VLOOKUP('Ballast Calculator'!$D$67,'Drop down Options'!$CS$289:$CV$293,4,FALSE)*Platforms!AZ61/Platforms!L61</f>
        <v>-269.93745607870693</v>
      </c>
      <c r="AX61">
        <f>AW61+VLOOKUP('Ballast Calculator'!$D$67,'Drop down Options'!$CS$289:$CV$293,4,FALSE)</f>
        <v>350.06254392129307</v>
      </c>
      <c r="AY61">
        <f>VLOOKUP('Ballast Calculator'!$D$67,'Drop down Options'!$CS$289:$CV$293,4,FALSE)*(Platforms!AZ61+Platforms!L61)/Platforms!L61</f>
        <v>350.06254392129307</v>
      </c>
      <c r="AZ61">
        <f t="shared" si="4"/>
        <v>-1239.1</v>
      </c>
    </row>
    <row r="62" spans="1:52" ht="12.75">
      <c r="A62" s="52" t="str">
        <f t="shared" si="5"/>
        <v>6430Premium2WDIVT</v>
      </c>
      <c r="B62">
        <v>60</v>
      </c>
      <c r="C62" t="s">
        <v>76</v>
      </c>
      <c r="D62" t="s">
        <v>71</v>
      </c>
      <c r="E62" t="s">
        <v>6</v>
      </c>
      <c r="F62" t="s">
        <v>75</v>
      </c>
      <c r="G62" s="53">
        <v>39870</v>
      </c>
      <c r="H62">
        <v>4800</v>
      </c>
      <c r="I62">
        <v>862.38532</v>
      </c>
      <c r="J62">
        <v>744</v>
      </c>
      <c r="K62">
        <v>293.7</v>
      </c>
      <c r="L62">
        <v>2846</v>
      </c>
      <c r="M62">
        <v>880</v>
      </c>
      <c r="N62">
        <v>9000</v>
      </c>
      <c r="O62">
        <v>5000</v>
      </c>
      <c r="P62">
        <v>6800</v>
      </c>
      <c r="Q62" s="52">
        <f t="shared" si="1"/>
        <v>1454.4798088545326</v>
      </c>
      <c r="R62" s="52">
        <f t="shared" si="2"/>
        <v>3345.5201911454674</v>
      </c>
      <c r="S62" s="52">
        <f t="shared" si="3"/>
        <v>3345.520191145468</v>
      </c>
      <c r="T62">
        <v>-1239.4</v>
      </c>
      <c r="U62">
        <v>352.6</v>
      </c>
      <c r="V62" s="54">
        <v>1535</v>
      </c>
      <c r="W62" s="54">
        <v>983</v>
      </c>
      <c r="X62" t="s">
        <v>401</v>
      </c>
      <c r="Y62" t="s">
        <v>401</v>
      </c>
      <c r="Z62" t="s">
        <v>401</v>
      </c>
      <c r="AF62">
        <v>3303</v>
      </c>
      <c r="AG62">
        <f>VLOOKUP('Ballast Calculator'!$D$67,'Drop down Options'!$CS$289:$CV$293,4,FALSE)*Platforms!T62/Platforms!L62</f>
        <v>-270.0028109627547</v>
      </c>
      <c r="AH62">
        <f>VLOOKUP('Ballast Calculator'!$D$67,'Drop down Options'!$CS$289:$CV$293,4,FALSE)+(VLOOKUP('Ballast Calculator'!$D$67,'Drop down Options'!$CS$289:$CV$293,4,FALSE)*T62)/L62</f>
        <v>349.9971890372453</v>
      </c>
      <c r="AI62">
        <f>VLOOKUP('Ballast Calculator'!$D$67,'Drop down Options'!$CS$289:$CV$293,4,FALSE)*(Platforms!L62+Platforms!T62)/Platforms!L62</f>
        <v>349.9971890372453</v>
      </c>
      <c r="AJ62">
        <v>-942.7</v>
      </c>
      <c r="AK62">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62">
        <f>IF(VLOOKUP('Ballast Calculator'!$D$50,'Drop down Options'!$AN$202:$AQ$210,4,FALSE)="",0,Platforms!AK62)</f>
        <v>2494.5318654318653</v>
      </c>
      <c r="AM62">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62">
        <f>IF(VLOOKUP('Ballast Calculator'!$D$50,'Drop down Options'!$AN$202:$AQ$210,4,FALSE)="",0,Platforms!AM62)</f>
        <v>-1106.2318654318653</v>
      </c>
      <c r="AO62">
        <f>VLOOKUP('Ballast Calculator'!$D$54,'Drop down Options'!$CN$277:$CR$280,5,FALSE)*Platforms!AJ62/Platforms!L62</f>
        <v>0</v>
      </c>
      <c r="AP62" s="167">
        <f>VLOOKUP('Ballast Calculator'!$D$54,'Drop down Options'!$CN$277:$CR$280,5,FALSE)+VLOOKUP('Ballast Calculator'!$D$54,'Drop down Options'!$CN$277:$CR$280,5,FALSE)*Platforms!AJ62/Platforms!L62</f>
        <v>0</v>
      </c>
      <c r="AQ62" s="167">
        <f>VLOOKUP('Ballast Calculator'!$D$54,'Drop down Options'!$CN$277:$CR$280,5,FALSE)*(Platforms!AJ62+Platforms!L62)/Platforms!L62</f>
        <v>0</v>
      </c>
      <c r="AR62">
        <f>VLOOKUP('Ballast Calculator'!$D$61,'Drop down Options'!$BW$215:$BZ$248,4,FALSE)*(Platforms!L62+Platforms!AF62)/Platforms!L62</f>
        <v>0</v>
      </c>
      <c r="AS62" s="167">
        <f>-AR62+VLOOKUP('Ballast Calculator'!$D$61,'Drop down Options'!$BW$215:$BZ$248,4,FALSE)</f>
        <v>0</v>
      </c>
      <c r="AT62" s="167">
        <f>-VLOOKUP('Ballast Calculator'!$D$61,'Drop down Options'!$BW$215:$BZ$248,4,FALSE)*Platforms!AF62/Platforms!L62</f>
        <v>0</v>
      </c>
      <c r="AU62">
        <v>0</v>
      </c>
      <c r="AV62">
        <f>VLOOKUP('Ballast Calculator'!$D$64,'Drop down Options'!$CF$253:$CI$272,4,FALSE)</f>
        <v>77</v>
      </c>
      <c r="AW62">
        <f>VLOOKUP('Ballast Calculator'!$D$67,'Drop down Options'!$CS$289:$CV$293,4,FALSE)*Platforms!AZ62/Platforms!L62</f>
        <v>-269.93745607870693</v>
      </c>
      <c r="AX62">
        <f>AW62+VLOOKUP('Ballast Calculator'!$D$67,'Drop down Options'!$CS$289:$CV$293,4,FALSE)</f>
        <v>350.06254392129307</v>
      </c>
      <c r="AY62">
        <f>VLOOKUP('Ballast Calculator'!$D$67,'Drop down Options'!$CS$289:$CV$293,4,FALSE)*(Platforms!AZ62+Platforms!L62)/Platforms!L62</f>
        <v>350.06254392129307</v>
      </c>
      <c r="AZ62">
        <f t="shared" si="4"/>
        <v>-1239.1</v>
      </c>
    </row>
    <row r="63" spans="1:52" ht="12.75">
      <c r="A63" s="52" t="str">
        <f t="shared" si="5"/>
        <v>6430CABMFWDS+</v>
      </c>
      <c r="B63">
        <v>61</v>
      </c>
      <c r="C63" t="s">
        <v>76</v>
      </c>
      <c r="D63" t="s">
        <v>60</v>
      </c>
      <c r="E63" t="s">
        <v>64</v>
      </c>
      <c r="F63" t="s">
        <v>68</v>
      </c>
      <c r="G63" s="53">
        <v>39870</v>
      </c>
      <c r="H63">
        <v>4700</v>
      </c>
      <c r="I63">
        <v>862.38532</v>
      </c>
      <c r="J63">
        <v>150</v>
      </c>
      <c r="K63">
        <v>400</v>
      </c>
      <c r="L63">
        <v>2645.5</v>
      </c>
      <c r="M63">
        <v>880</v>
      </c>
      <c r="N63">
        <v>9000</v>
      </c>
      <c r="O63">
        <v>5800</v>
      </c>
      <c r="P63">
        <v>6800</v>
      </c>
      <c r="Q63" s="52">
        <f t="shared" si="1"/>
        <v>1532.1152916272915</v>
      </c>
      <c r="R63" s="52">
        <f t="shared" si="2"/>
        <v>3167.8847083727087</v>
      </c>
      <c r="S63" s="52">
        <f t="shared" si="3"/>
        <v>3167.8847083727087</v>
      </c>
      <c r="T63">
        <v>-1239.4</v>
      </c>
      <c r="U63">
        <v>352.6</v>
      </c>
      <c r="V63" s="54">
        <v>1535</v>
      </c>
      <c r="W63" s="54">
        <v>983</v>
      </c>
      <c r="X63" t="s">
        <v>401</v>
      </c>
      <c r="Y63" t="s">
        <v>401</v>
      </c>
      <c r="Z63" t="s">
        <v>401</v>
      </c>
      <c r="AA63" t="s">
        <v>401</v>
      </c>
      <c r="AF63">
        <v>3303</v>
      </c>
      <c r="AG63">
        <f>VLOOKUP('Ballast Calculator'!$D$67,'Drop down Options'!$CS$289:$CV$293,4,FALSE)*Platforms!T63/Platforms!L63</f>
        <v>-290.4660744660745</v>
      </c>
      <c r="AH63">
        <f>VLOOKUP('Ballast Calculator'!$D$67,'Drop down Options'!$CS$289:$CV$293,4,FALSE)+(VLOOKUP('Ballast Calculator'!$D$67,'Drop down Options'!$CS$289:$CV$293,4,FALSE)*T63)/L63</f>
        <v>329.5339255339255</v>
      </c>
      <c r="AI63">
        <f>VLOOKUP('Ballast Calculator'!$D$67,'Drop down Options'!$CS$289:$CV$293,4,FALSE)*(Platforms!L63+Platforms!T63)/Platforms!L63</f>
        <v>329.5339255339255</v>
      </c>
      <c r="AJ63">
        <v>-942.7</v>
      </c>
      <c r="AK63">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63">
        <f>IF(VLOOKUP('Ballast Calculator'!$D$50,'Drop down Options'!$AN$202:$AQ$210,4,FALSE)="",0,Platforms!AK63)</f>
        <v>2494.5318654318653</v>
      </c>
      <c r="AM63">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63">
        <f>IF(VLOOKUP('Ballast Calculator'!$D$50,'Drop down Options'!$AN$202:$AQ$210,4,FALSE)="",0,Platforms!AM63)</f>
        <v>-1106.2318654318653</v>
      </c>
      <c r="AO63">
        <f>VLOOKUP('Ballast Calculator'!$D$54,'Drop down Options'!$CN$277:$CR$280,5,FALSE)*Platforms!AJ63/Platforms!L63</f>
        <v>0</v>
      </c>
      <c r="AP63" s="167">
        <f>VLOOKUP('Ballast Calculator'!$D$54,'Drop down Options'!$CN$277:$CR$280,5,FALSE)+VLOOKUP('Ballast Calculator'!$D$54,'Drop down Options'!$CN$277:$CR$280,5,FALSE)*Platforms!AJ63/Platforms!L63</f>
        <v>0</v>
      </c>
      <c r="AQ63" s="167">
        <f>VLOOKUP('Ballast Calculator'!$D$54,'Drop down Options'!$CN$277:$CR$280,5,FALSE)*(Platforms!AJ63+Platforms!L63)/Platforms!L63</f>
        <v>0</v>
      </c>
      <c r="AR63">
        <f>VLOOKUP('Ballast Calculator'!$D$61,'Drop down Options'!$BW$215:$BZ$248,4,FALSE)*(Platforms!L63+Platforms!AF63)/Platforms!L63</f>
        <v>0</v>
      </c>
      <c r="AS63" s="167">
        <f>-AR63+VLOOKUP('Ballast Calculator'!$D$61,'Drop down Options'!$BW$215:$BZ$248,4,FALSE)</f>
        <v>0</v>
      </c>
      <c r="AT63" s="167">
        <f>-VLOOKUP('Ballast Calculator'!$D$61,'Drop down Options'!$BW$215:$BZ$248,4,FALSE)*Platforms!AF63/Platforms!L63</f>
        <v>0</v>
      </c>
      <c r="AU63">
        <v>0</v>
      </c>
      <c r="AV63">
        <f>VLOOKUP('Ballast Calculator'!$D$64,'Drop down Options'!$CF$253:$CI$272,4,FALSE)</f>
        <v>77</v>
      </c>
      <c r="AW63">
        <f>VLOOKUP('Ballast Calculator'!$D$67,'Drop down Options'!$CS$289:$CV$293,4,FALSE)*Platforms!AZ63/Platforms!L63</f>
        <v>-290.3957663957664</v>
      </c>
      <c r="AX63">
        <f>AW63+VLOOKUP('Ballast Calculator'!$D$67,'Drop down Options'!$CS$289:$CV$293,4,FALSE)</f>
        <v>329.6042336042336</v>
      </c>
      <c r="AY63">
        <f>VLOOKUP('Ballast Calculator'!$D$67,'Drop down Options'!$CS$289:$CV$293,4,FALSE)*(Platforms!AZ63+Platforms!L63)/Platforms!L63</f>
        <v>329.6042336042336</v>
      </c>
      <c r="AZ63">
        <f t="shared" si="4"/>
        <v>-1239.1</v>
      </c>
    </row>
    <row r="64" spans="1:52" ht="12.75">
      <c r="A64" s="52" t="str">
        <f t="shared" si="5"/>
        <v>6430CABMFWDPQ+</v>
      </c>
      <c r="B64">
        <v>62</v>
      </c>
      <c r="C64" t="s">
        <v>76</v>
      </c>
      <c r="D64" t="s">
        <v>60</v>
      </c>
      <c r="E64" t="s">
        <v>64</v>
      </c>
      <c r="F64" t="s">
        <v>69</v>
      </c>
      <c r="G64" s="53">
        <v>39870</v>
      </c>
      <c r="H64">
        <v>4700</v>
      </c>
      <c r="I64">
        <v>862.38532</v>
      </c>
      <c r="J64">
        <v>150</v>
      </c>
      <c r="K64">
        <v>400</v>
      </c>
      <c r="L64">
        <v>2645.5</v>
      </c>
      <c r="M64">
        <v>880</v>
      </c>
      <c r="N64">
        <v>9000</v>
      </c>
      <c r="O64">
        <v>5800</v>
      </c>
      <c r="P64">
        <v>6800</v>
      </c>
      <c r="Q64" s="52">
        <f t="shared" si="1"/>
        <v>1532.1152916272915</v>
      </c>
      <c r="R64" s="52">
        <f t="shared" si="2"/>
        <v>3167.8847083727087</v>
      </c>
      <c r="S64" s="52">
        <f t="shared" si="3"/>
        <v>3167.8847083727087</v>
      </c>
      <c r="T64">
        <v>-1239.4</v>
      </c>
      <c r="U64">
        <v>352.6</v>
      </c>
      <c r="V64" s="54">
        <v>1535</v>
      </c>
      <c r="W64" s="54">
        <v>983</v>
      </c>
      <c r="X64" t="s">
        <v>401</v>
      </c>
      <c r="Y64" t="s">
        <v>401</v>
      </c>
      <c r="Z64" t="s">
        <v>401</v>
      </c>
      <c r="AA64" t="s">
        <v>401</v>
      </c>
      <c r="AF64">
        <v>3303</v>
      </c>
      <c r="AG64">
        <f>VLOOKUP('Ballast Calculator'!$D$67,'Drop down Options'!$CS$289:$CV$293,4,FALSE)*Platforms!T64/Platforms!L64</f>
        <v>-290.4660744660745</v>
      </c>
      <c r="AH64">
        <f>VLOOKUP('Ballast Calculator'!$D$67,'Drop down Options'!$CS$289:$CV$293,4,FALSE)+(VLOOKUP('Ballast Calculator'!$D$67,'Drop down Options'!$CS$289:$CV$293,4,FALSE)*T64)/L64</f>
        <v>329.5339255339255</v>
      </c>
      <c r="AI64">
        <f>VLOOKUP('Ballast Calculator'!$D$67,'Drop down Options'!$CS$289:$CV$293,4,FALSE)*(Platforms!L64+Platforms!T64)/Platforms!L64</f>
        <v>329.5339255339255</v>
      </c>
      <c r="AJ64">
        <v>-942.7</v>
      </c>
      <c r="AK64">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64">
        <f>IF(VLOOKUP('Ballast Calculator'!$D$50,'Drop down Options'!$AN$202:$AQ$210,4,FALSE)="",0,Platforms!AK64)</f>
        <v>2494.5318654318653</v>
      </c>
      <c r="AM64">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64">
        <f>IF(VLOOKUP('Ballast Calculator'!$D$50,'Drop down Options'!$AN$202:$AQ$210,4,FALSE)="",0,Platforms!AM64)</f>
        <v>-1106.2318654318653</v>
      </c>
      <c r="AO64">
        <f>VLOOKUP('Ballast Calculator'!$D$54,'Drop down Options'!$CN$277:$CR$280,5,FALSE)*Platforms!AJ64/Platforms!L64</f>
        <v>0</v>
      </c>
      <c r="AP64" s="167">
        <f>VLOOKUP('Ballast Calculator'!$D$54,'Drop down Options'!$CN$277:$CR$280,5,FALSE)+VLOOKUP('Ballast Calculator'!$D$54,'Drop down Options'!$CN$277:$CR$280,5,FALSE)*Platforms!AJ64/Platforms!L64</f>
        <v>0</v>
      </c>
      <c r="AQ64" s="167">
        <f>VLOOKUP('Ballast Calculator'!$D$54,'Drop down Options'!$CN$277:$CR$280,5,FALSE)*(Platforms!AJ64+Platforms!L64)/Platforms!L64</f>
        <v>0</v>
      </c>
      <c r="AR64">
        <f>VLOOKUP('Ballast Calculator'!$D$61,'Drop down Options'!$BW$215:$BZ$248,4,FALSE)*(Platforms!L64+Platforms!AF64)/Platforms!L64</f>
        <v>0</v>
      </c>
      <c r="AS64" s="167">
        <f>-AR64+VLOOKUP('Ballast Calculator'!$D$61,'Drop down Options'!$BW$215:$BZ$248,4,FALSE)</f>
        <v>0</v>
      </c>
      <c r="AT64" s="167">
        <f>-VLOOKUP('Ballast Calculator'!$D$61,'Drop down Options'!$BW$215:$BZ$248,4,FALSE)*Platforms!AF64/Platforms!L64</f>
        <v>0</v>
      </c>
      <c r="AU64">
        <v>0</v>
      </c>
      <c r="AV64">
        <f>VLOOKUP('Ballast Calculator'!$D$64,'Drop down Options'!$CF$253:$CI$272,4,FALSE)</f>
        <v>77</v>
      </c>
      <c r="AW64">
        <f>VLOOKUP('Ballast Calculator'!$D$67,'Drop down Options'!$CS$289:$CV$293,4,FALSE)*Platforms!AZ64/Platforms!L64</f>
        <v>-290.3957663957664</v>
      </c>
      <c r="AX64">
        <f>AW64+VLOOKUP('Ballast Calculator'!$D$67,'Drop down Options'!$CS$289:$CV$293,4,FALSE)</f>
        <v>329.6042336042336</v>
      </c>
      <c r="AY64">
        <f>VLOOKUP('Ballast Calculator'!$D$67,'Drop down Options'!$CS$289:$CV$293,4,FALSE)*(Platforms!AZ64+Platforms!L64)/Platforms!L64</f>
        <v>329.6042336042336</v>
      </c>
      <c r="AZ64">
        <f t="shared" si="4"/>
        <v>-1239.1</v>
      </c>
    </row>
    <row r="65" spans="1:52" ht="12.75">
      <c r="A65" s="52" t="str">
        <f t="shared" si="5"/>
        <v>6430OOSMFWDS+</v>
      </c>
      <c r="B65">
        <v>63</v>
      </c>
      <c r="C65" t="s">
        <v>76</v>
      </c>
      <c r="D65" t="s">
        <v>63</v>
      </c>
      <c r="E65" t="s">
        <v>64</v>
      </c>
      <c r="F65" s="54" t="s">
        <v>68</v>
      </c>
      <c r="G65" s="53">
        <v>39870</v>
      </c>
      <c r="H65">
        <v>4200</v>
      </c>
      <c r="I65">
        <v>862.38532</v>
      </c>
      <c r="J65">
        <v>150</v>
      </c>
      <c r="K65">
        <v>400</v>
      </c>
      <c r="L65">
        <v>2645.5</v>
      </c>
      <c r="M65">
        <v>880</v>
      </c>
      <c r="N65">
        <v>9000</v>
      </c>
      <c r="O65">
        <v>5800</v>
      </c>
      <c r="P65">
        <v>6800</v>
      </c>
      <c r="Q65" s="52">
        <f t="shared" si="1"/>
        <v>1369.124303156303</v>
      </c>
      <c r="R65" s="52">
        <f t="shared" si="2"/>
        <v>2830.875696843697</v>
      </c>
      <c r="S65" s="52">
        <f t="shared" si="3"/>
        <v>2830.875696843697</v>
      </c>
      <c r="T65">
        <v>-1239.4</v>
      </c>
      <c r="U65">
        <v>352.6</v>
      </c>
      <c r="V65" s="54">
        <v>1535</v>
      </c>
      <c r="W65" s="54">
        <v>983</v>
      </c>
      <c r="X65" t="s">
        <v>401</v>
      </c>
      <c r="Y65" t="s">
        <v>401</v>
      </c>
      <c r="Z65" t="s">
        <v>401</v>
      </c>
      <c r="AA65" t="s">
        <v>401</v>
      </c>
      <c r="AF65">
        <v>3303</v>
      </c>
      <c r="AG65">
        <f>VLOOKUP('Ballast Calculator'!$D$67,'Drop down Options'!$CS$289:$CV$293,4,FALSE)*Platforms!T65/Platforms!L65</f>
        <v>-290.4660744660745</v>
      </c>
      <c r="AH65">
        <f>VLOOKUP('Ballast Calculator'!$D$67,'Drop down Options'!$CS$289:$CV$293,4,FALSE)+(VLOOKUP('Ballast Calculator'!$D$67,'Drop down Options'!$CS$289:$CV$293,4,FALSE)*T65)/L65</f>
        <v>329.5339255339255</v>
      </c>
      <c r="AI65">
        <f>VLOOKUP('Ballast Calculator'!$D$67,'Drop down Options'!$CS$289:$CV$293,4,FALSE)*(Platforms!L65+Platforms!T65)/Platforms!L65</f>
        <v>329.5339255339255</v>
      </c>
      <c r="AJ65">
        <v>-942.7</v>
      </c>
      <c r="AK65">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65">
        <f>IF(VLOOKUP('Ballast Calculator'!$D$50,'Drop down Options'!$AN$202:$AQ$210,4,FALSE)="",0,Platforms!AK65)</f>
        <v>2494.5318654318653</v>
      </c>
      <c r="AM65">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65">
        <f>IF(VLOOKUP('Ballast Calculator'!$D$50,'Drop down Options'!$AN$202:$AQ$210,4,FALSE)="",0,Platforms!AM65)</f>
        <v>-1106.2318654318653</v>
      </c>
      <c r="AO65">
        <f>VLOOKUP('Ballast Calculator'!$D$54,'Drop down Options'!$CN$277:$CR$280,5,FALSE)*Platforms!AJ65/Platforms!L65</f>
        <v>0</v>
      </c>
      <c r="AP65" s="167">
        <f>VLOOKUP('Ballast Calculator'!$D$54,'Drop down Options'!$CN$277:$CR$280,5,FALSE)+VLOOKUP('Ballast Calculator'!$D$54,'Drop down Options'!$CN$277:$CR$280,5,FALSE)*Platforms!AJ65/Platforms!L65</f>
        <v>0</v>
      </c>
      <c r="AQ65" s="167">
        <f>VLOOKUP('Ballast Calculator'!$D$54,'Drop down Options'!$CN$277:$CR$280,5,FALSE)*(Platforms!AJ65+Platforms!L65)/Platforms!L65</f>
        <v>0</v>
      </c>
      <c r="AR65">
        <f>VLOOKUP('Ballast Calculator'!$D$61,'Drop down Options'!$BW$215:$BZ$248,4,FALSE)*(Platforms!L65+Platforms!AF65)/Platforms!L65</f>
        <v>0</v>
      </c>
      <c r="AS65" s="167">
        <f>-AR65+VLOOKUP('Ballast Calculator'!$D$61,'Drop down Options'!$BW$215:$BZ$248,4,FALSE)</f>
        <v>0</v>
      </c>
      <c r="AT65" s="167">
        <f>-VLOOKUP('Ballast Calculator'!$D$61,'Drop down Options'!$BW$215:$BZ$248,4,FALSE)*Platforms!AF65/Platforms!L65</f>
        <v>0</v>
      </c>
      <c r="AU65">
        <v>0</v>
      </c>
      <c r="AV65">
        <f>VLOOKUP('Ballast Calculator'!$D$64,'Drop down Options'!$CF$253:$CI$272,4,FALSE)</f>
        <v>77</v>
      </c>
      <c r="AW65">
        <f>VLOOKUP('Ballast Calculator'!$D$67,'Drop down Options'!$CS$289:$CV$293,4,FALSE)*Platforms!AZ65/Platforms!L65</f>
        <v>-290.3957663957664</v>
      </c>
      <c r="AX65">
        <f>AW65+VLOOKUP('Ballast Calculator'!$D$67,'Drop down Options'!$CS$289:$CV$293,4,FALSE)</f>
        <v>329.6042336042336</v>
      </c>
      <c r="AY65">
        <f>VLOOKUP('Ballast Calculator'!$D$67,'Drop down Options'!$CS$289:$CV$293,4,FALSE)*(Platforms!AZ65+Platforms!L65)/Platforms!L65</f>
        <v>329.6042336042336</v>
      </c>
      <c r="AZ65">
        <f t="shared" si="4"/>
        <v>-1239.1</v>
      </c>
    </row>
    <row r="66" spans="1:52" ht="12.75">
      <c r="A66" s="52" t="str">
        <f t="shared" si="5"/>
        <v>6430OOSMFWDPQ</v>
      </c>
      <c r="B66">
        <v>64</v>
      </c>
      <c r="C66" t="s">
        <v>76</v>
      </c>
      <c r="D66" t="s">
        <v>63</v>
      </c>
      <c r="E66" t="s">
        <v>64</v>
      </c>
      <c r="F66" s="54" t="s">
        <v>70</v>
      </c>
      <c r="G66" s="53">
        <v>39870</v>
      </c>
      <c r="H66">
        <v>4200</v>
      </c>
      <c r="I66">
        <v>862.38532</v>
      </c>
      <c r="J66">
        <v>150</v>
      </c>
      <c r="K66">
        <v>400</v>
      </c>
      <c r="L66">
        <v>2645.5</v>
      </c>
      <c r="M66">
        <v>880</v>
      </c>
      <c r="N66">
        <v>9000</v>
      </c>
      <c r="O66">
        <v>5800</v>
      </c>
      <c r="P66">
        <v>6800</v>
      </c>
      <c r="Q66" s="52">
        <f t="shared" si="1"/>
        <v>1369.124303156303</v>
      </c>
      <c r="R66" s="52">
        <f t="shared" si="2"/>
        <v>2830.875696843697</v>
      </c>
      <c r="S66" s="52">
        <f t="shared" si="3"/>
        <v>2830.875696843697</v>
      </c>
      <c r="T66">
        <v>-1239.4</v>
      </c>
      <c r="U66">
        <v>352.6</v>
      </c>
      <c r="V66" s="54">
        <v>1535</v>
      </c>
      <c r="W66" s="54">
        <v>983</v>
      </c>
      <c r="X66" t="s">
        <v>401</v>
      </c>
      <c r="Y66" t="s">
        <v>401</v>
      </c>
      <c r="Z66" t="s">
        <v>401</v>
      </c>
      <c r="AA66" t="s">
        <v>401</v>
      </c>
      <c r="AF66">
        <v>3303</v>
      </c>
      <c r="AG66">
        <f>VLOOKUP('Ballast Calculator'!$D$67,'Drop down Options'!$CS$289:$CV$293,4,FALSE)*Platforms!T66/Platforms!L66</f>
        <v>-290.4660744660745</v>
      </c>
      <c r="AH66">
        <f>VLOOKUP('Ballast Calculator'!$D$67,'Drop down Options'!$CS$289:$CV$293,4,FALSE)+(VLOOKUP('Ballast Calculator'!$D$67,'Drop down Options'!$CS$289:$CV$293,4,FALSE)*T66)/L66</f>
        <v>329.5339255339255</v>
      </c>
      <c r="AI66">
        <f>VLOOKUP('Ballast Calculator'!$D$67,'Drop down Options'!$CS$289:$CV$293,4,FALSE)*(Platforms!L66+Platforms!T66)/Platforms!L66</f>
        <v>329.5339255339255</v>
      </c>
      <c r="AJ66">
        <v>-942.7</v>
      </c>
      <c r="AK66">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66">
        <f>IF(VLOOKUP('Ballast Calculator'!$D$50,'Drop down Options'!$AN$202:$AQ$210,4,FALSE)="",0,Platforms!AK66)</f>
        <v>2494.5318654318653</v>
      </c>
      <c r="AM66">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66">
        <f>IF(VLOOKUP('Ballast Calculator'!$D$50,'Drop down Options'!$AN$202:$AQ$210,4,FALSE)="",0,Platforms!AM66)</f>
        <v>-1106.2318654318653</v>
      </c>
      <c r="AO66">
        <f>VLOOKUP('Ballast Calculator'!$D$54,'Drop down Options'!$CN$277:$CR$280,5,FALSE)*Platforms!AJ66/Platforms!L66</f>
        <v>0</v>
      </c>
      <c r="AP66" s="167">
        <f>VLOOKUP('Ballast Calculator'!$D$54,'Drop down Options'!$CN$277:$CR$280,5,FALSE)+VLOOKUP('Ballast Calculator'!$D$54,'Drop down Options'!$CN$277:$CR$280,5,FALSE)*Platforms!AJ66/Platforms!L66</f>
        <v>0</v>
      </c>
      <c r="AQ66" s="167">
        <f>VLOOKUP('Ballast Calculator'!$D$54,'Drop down Options'!$CN$277:$CR$280,5,FALSE)*(Platforms!AJ66+Platforms!L66)/Platforms!L66</f>
        <v>0</v>
      </c>
      <c r="AR66">
        <f>VLOOKUP('Ballast Calculator'!$D$61,'Drop down Options'!$BW$215:$BZ$248,4,FALSE)*(Platforms!L66+Platforms!AF66)/Platforms!L66</f>
        <v>0</v>
      </c>
      <c r="AS66" s="167">
        <f>-AR66+VLOOKUP('Ballast Calculator'!$D$61,'Drop down Options'!$BW$215:$BZ$248,4,FALSE)</f>
        <v>0</v>
      </c>
      <c r="AT66" s="167">
        <f>-VLOOKUP('Ballast Calculator'!$D$61,'Drop down Options'!$BW$215:$BZ$248,4,FALSE)*Platforms!AF66/Platforms!L66</f>
        <v>0</v>
      </c>
      <c r="AU66">
        <v>0</v>
      </c>
      <c r="AV66">
        <f>VLOOKUP('Ballast Calculator'!$D$64,'Drop down Options'!$CF$253:$CI$272,4,FALSE)</f>
        <v>77</v>
      </c>
      <c r="AW66">
        <f>VLOOKUP('Ballast Calculator'!$D$67,'Drop down Options'!$CS$289:$CV$293,4,FALSE)*Platforms!AZ66/Platforms!L66</f>
        <v>-290.3957663957664</v>
      </c>
      <c r="AX66">
        <f>AW66+VLOOKUP('Ballast Calculator'!$D$67,'Drop down Options'!$CS$289:$CV$293,4,FALSE)</f>
        <v>329.6042336042336</v>
      </c>
      <c r="AY66">
        <f>VLOOKUP('Ballast Calculator'!$D$67,'Drop down Options'!$CS$289:$CV$293,4,FALSE)*(Platforms!AZ66+Platforms!L66)/Platforms!L66</f>
        <v>329.6042336042336</v>
      </c>
      <c r="AZ66">
        <f t="shared" si="4"/>
        <v>-1239.1</v>
      </c>
    </row>
    <row r="67" spans="1:52" ht="12.75">
      <c r="A67" s="52" t="str">
        <f aca="true" t="shared" si="6" ref="A67:A98">CONCATENATE(C67,D67,E67,F67)</f>
        <v>6430PremiumMFWDPQ+</v>
      </c>
      <c r="B67">
        <v>65</v>
      </c>
      <c r="C67" t="s">
        <v>76</v>
      </c>
      <c r="D67" t="s">
        <v>71</v>
      </c>
      <c r="E67" t="s">
        <v>64</v>
      </c>
      <c r="F67" t="s">
        <v>69</v>
      </c>
      <c r="G67" s="53">
        <v>39870</v>
      </c>
      <c r="H67">
        <v>4800</v>
      </c>
      <c r="I67">
        <v>862.38532</v>
      </c>
      <c r="J67">
        <v>150</v>
      </c>
      <c r="K67">
        <v>400</v>
      </c>
      <c r="L67">
        <v>2645.5</v>
      </c>
      <c r="M67">
        <v>880</v>
      </c>
      <c r="N67">
        <v>9000</v>
      </c>
      <c r="O67">
        <v>5800</v>
      </c>
      <c r="P67">
        <v>6800</v>
      </c>
      <c r="Q67" s="52">
        <f t="shared" si="1"/>
        <v>1564.7134893214893</v>
      </c>
      <c r="R67" s="52">
        <f t="shared" si="2"/>
        <v>3235.2865106785107</v>
      </c>
      <c r="S67" s="52">
        <f t="shared" si="3"/>
        <v>3235.286510678511</v>
      </c>
      <c r="T67">
        <v>-1239.4</v>
      </c>
      <c r="U67">
        <v>352.6</v>
      </c>
      <c r="V67" s="54">
        <v>1535</v>
      </c>
      <c r="W67" s="54">
        <v>983</v>
      </c>
      <c r="X67" t="s">
        <v>401</v>
      </c>
      <c r="Y67" t="s">
        <v>401</v>
      </c>
      <c r="Z67" t="s">
        <v>401</v>
      </c>
      <c r="AA67" t="s">
        <v>401</v>
      </c>
      <c r="AF67">
        <v>3303</v>
      </c>
      <c r="AG67">
        <f>VLOOKUP('Ballast Calculator'!$D$67,'Drop down Options'!$CS$289:$CV$293,4,FALSE)*Platforms!T67/Platforms!L67</f>
        <v>-290.4660744660745</v>
      </c>
      <c r="AH67">
        <f>VLOOKUP('Ballast Calculator'!$D$67,'Drop down Options'!$CS$289:$CV$293,4,FALSE)+(VLOOKUP('Ballast Calculator'!$D$67,'Drop down Options'!$CS$289:$CV$293,4,FALSE)*T67)/L67</f>
        <v>329.5339255339255</v>
      </c>
      <c r="AI67">
        <f>VLOOKUP('Ballast Calculator'!$D$67,'Drop down Options'!$CS$289:$CV$293,4,FALSE)*(Platforms!L67+Platforms!T67)/Platforms!L67</f>
        <v>329.5339255339255</v>
      </c>
      <c r="AJ67">
        <v>-942.7</v>
      </c>
      <c r="AK67">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67">
        <f>IF(VLOOKUP('Ballast Calculator'!$D$50,'Drop down Options'!$AN$202:$AQ$210,4,FALSE)="",0,Platforms!AK67)</f>
        <v>2494.5318654318653</v>
      </c>
      <c r="AM67">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67">
        <f>IF(VLOOKUP('Ballast Calculator'!$D$50,'Drop down Options'!$AN$202:$AQ$210,4,FALSE)="",0,Platforms!AM67)</f>
        <v>-1106.2318654318653</v>
      </c>
      <c r="AO67">
        <f>VLOOKUP('Ballast Calculator'!$D$54,'Drop down Options'!$CN$277:$CR$280,5,FALSE)*Platforms!AJ67/Platforms!L67</f>
        <v>0</v>
      </c>
      <c r="AP67" s="167">
        <f>VLOOKUP('Ballast Calculator'!$D$54,'Drop down Options'!$CN$277:$CR$280,5,FALSE)+VLOOKUP('Ballast Calculator'!$D$54,'Drop down Options'!$CN$277:$CR$280,5,FALSE)*Platforms!AJ67/Platforms!L67</f>
        <v>0</v>
      </c>
      <c r="AQ67" s="167">
        <f>VLOOKUP('Ballast Calculator'!$D$54,'Drop down Options'!$CN$277:$CR$280,5,FALSE)*(Platforms!AJ67+Platforms!L67)/Platforms!L67</f>
        <v>0</v>
      </c>
      <c r="AR67">
        <f>VLOOKUP('Ballast Calculator'!$D$61,'Drop down Options'!$BW$215:$BZ$248,4,FALSE)*(Platforms!L67+Platforms!AF67)/Platforms!L67</f>
        <v>0</v>
      </c>
      <c r="AS67" s="167">
        <f>-AR67+VLOOKUP('Ballast Calculator'!$D$61,'Drop down Options'!$BW$215:$BZ$248,4,FALSE)</f>
        <v>0</v>
      </c>
      <c r="AT67" s="167">
        <f>-VLOOKUP('Ballast Calculator'!$D$61,'Drop down Options'!$BW$215:$BZ$248,4,FALSE)*Platforms!AF67/Platforms!L67</f>
        <v>0</v>
      </c>
      <c r="AU67">
        <v>0</v>
      </c>
      <c r="AV67">
        <f>VLOOKUP('Ballast Calculator'!$D$64,'Drop down Options'!$CF$253:$CI$272,4,FALSE)</f>
        <v>77</v>
      </c>
      <c r="AW67">
        <f>VLOOKUP('Ballast Calculator'!$D$67,'Drop down Options'!$CS$289:$CV$293,4,FALSE)*Platforms!AZ67/Platforms!L67</f>
        <v>-290.3957663957664</v>
      </c>
      <c r="AX67">
        <f>AW67+VLOOKUP('Ballast Calculator'!$D$67,'Drop down Options'!$CS$289:$CV$293,4,FALSE)</f>
        <v>329.6042336042336</v>
      </c>
      <c r="AY67">
        <f>VLOOKUP('Ballast Calculator'!$D$67,'Drop down Options'!$CS$289:$CV$293,4,FALSE)*(Platforms!AZ67+Platforms!L67)/Platforms!L67</f>
        <v>329.6042336042336</v>
      </c>
      <c r="AZ67">
        <f t="shared" si="4"/>
        <v>-1239.1</v>
      </c>
    </row>
    <row r="68" spans="1:52" ht="12.75">
      <c r="A68" s="52" t="str">
        <f t="shared" si="6"/>
        <v>6430PremiumMFWDAQ+</v>
      </c>
      <c r="B68">
        <v>66</v>
      </c>
      <c r="C68" t="s">
        <v>76</v>
      </c>
      <c r="D68" t="s">
        <v>71</v>
      </c>
      <c r="E68" t="s">
        <v>64</v>
      </c>
      <c r="F68" t="s">
        <v>72</v>
      </c>
      <c r="G68" s="53">
        <v>39870</v>
      </c>
      <c r="H68">
        <v>4800</v>
      </c>
      <c r="I68">
        <v>862.38532</v>
      </c>
      <c r="J68">
        <v>150</v>
      </c>
      <c r="K68">
        <v>400</v>
      </c>
      <c r="L68">
        <v>2645.5</v>
      </c>
      <c r="M68">
        <v>880</v>
      </c>
      <c r="N68">
        <v>9000</v>
      </c>
      <c r="O68">
        <v>5800</v>
      </c>
      <c r="P68">
        <v>6800</v>
      </c>
      <c r="Q68" s="52">
        <f aca="true" t="shared" si="7" ref="Q68:Q131">(H68*I68)/L68</f>
        <v>1564.7134893214893</v>
      </c>
      <c r="R68" s="52">
        <f aca="true" t="shared" si="8" ref="R68:R131">-Q68+H68</f>
        <v>3235.2865106785107</v>
      </c>
      <c r="S68" s="52">
        <f aca="true" t="shared" si="9" ref="S68:S131">(H68*(L68-I68))/L68</f>
        <v>3235.286510678511</v>
      </c>
      <c r="T68">
        <v>-1239.4</v>
      </c>
      <c r="U68">
        <v>352.6</v>
      </c>
      <c r="V68" s="54">
        <v>1535</v>
      </c>
      <c r="W68" s="54">
        <v>983</v>
      </c>
      <c r="X68" t="s">
        <v>401</v>
      </c>
      <c r="Y68" t="s">
        <v>401</v>
      </c>
      <c r="Z68" t="s">
        <v>401</v>
      </c>
      <c r="AA68" t="s">
        <v>401</v>
      </c>
      <c r="AF68">
        <v>3303</v>
      </c>
      <c r="AG68">
        <f>VLOOKUP('Ballast Calculator'!$D$67,'Drop down Options'!$CS$289:$CV$293,4,FALSE)*Platforms!T68/Platforms!L68</f>
        <v>-290.4660744660745</v>
      </c>
      <c r="AH68">
        <f>VLOOKUP('Ballast Calculator'!$D$67,'Drop down Options'!$CS$289:$CV$293,4,FALSE)+(VLOOKUP('Ballast Calculator'!$D$67,'Drop down Options'!$CS$289:$CV$293,4,FALSE)*T68)/L68</f>
        <v>329.5339255339255</v>
      </c>
      <c r="AI68">
        <f>VLOOKUP('Ballast Calculator'!$D$67,'Drop down Options'!$CS$289:$CV$293,4,FALSE)*(Platforms!L68+Platforms!T68)/Platforms!L68</f>
        <v>329.5339255339255</v>
      </c>
      <c r="AJ68">
        <v>-942.7</v>
      </c>
      <c r="AK68">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68">
        <f>IF(VLOOKUP('Ballast Calculator'!$D$50,'Drop down Options'!$AN$202:$AQ$210,4,FALSE)="",0,Platforms!AK68)</f>
        <v>2494.5318654318653</v>
      </c>
      <c r="AM68">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68">
        <f>IF(VLOOKUP('Ballast Calculator'!$D$50,'Drop down Options'!$AN$202:$AQ$210,4,FALSE)="",0,Platforms!AM68)</f>
        <v>-1106.2318654318653</v>
      </c>
      <c r="AO68">
        <f>VLOOKUP('Ballast Calculator'!$D$54,'Drop down Options'!$CN$277:$CR$280,5,FALSE)*Platforms!AJ68/Platforms!L68</f>
        <v>0</v>
      </c>
      <c r="AP68" s="167">
        <f>VLOOKUP('Ballast Calculator'!$D$54,'Drop down Options'!$CN$277:$CR$280,5,FALSE)+VLOOKUP('Ballast Calculator'!$D$54,'Drop down Options'!$CN$277:$CR$280,5,FALSE)*Platforms!AJ68/Platforms!L68</f>
        <v>0</v>
      </c>
      <c r="AQ68" s="167">
        <f>VLOOKUP('Ballast Calculator'!$D$54,'Drop down Options'!$CN$277:$CR$280,5,FALSE)*(Platforms!AJ68+Platforms!L68)/Platforms!L68</f>
        <v>0</v>
      </c>
      <c r="AR68">
        <f>VLOOKUP('Ballast Calculator'!$D$61,'Drop down Options'!$BW$215:$BZ$248,4,FALSE)*(Platforms!L68+Platforms!AF68)/Platforms!L68</f>
        <v>0</v>
      </c>
      <c r="AS68" s="167">
        <f>-AR68+VLOOKUP('Ballast Calculator'!$D$61,'Drop down Options'!$BW$215:$BZ$248,4,FALSE)</f>
        <v>0</v>
      </c>
      <c r="AT68" s="167">
        <f>-VLOOKUP('Ballast Calculator'!$D$61,'Drop down Options'!$BW$215:$BZ$248,4,FALSE)*Platforms!AF68/Platforms!L68</f>
        <v>0</v>
      </c>
      <c r="AU68">
        <v>0</v>
      </c>
      <c r="AV68">
        <f>VLOOKUP('Ballast Calculator'!$D$64,'Drop down Options'!$CF$253:$CI$272,4,FALSE)</f>
        <v>77</v>
      </c>
      <c r="AW68">
        <f>VLOOKUP('Ballast Calculator'!$D$67,'Drop down Options'!$CS$289:$CV$293,4,FALSE)*Platforms!AZ68/Platforms!L68</f>
        <v>-290.3957663957664</v>
      </c>
      <c r="AX68">
        <f>AW68+VLOOKUP('Ballast Calculator'!$D$67,'Drop down Options'!$CS$289:$CV$293,4,FALSE)</f>
        <v>329.6042336042336</v>
      </c>
      <c r="AY68">
        <f>VLOOKUP('Ballast Calculator'!$D$67,'Drop down Options'!$CS$289:$CV$293,4,FALSE)*(Platforms!AZ68+Platforms!L68)/Platforms!L68</f>
        <v>329.6042336042336</v>
      </c>
      <c r="AZ68">
        <f aca="true" t="shared" si="10" ref="AZ68:AZ99">AJ68-296.4</f>
        <v>-1239.1</v>
      </c>
    </row>
    <row r="69" spans="1:52" ht="12.75">
      <c r="A69" s="52" t="str">
        <f t="shared" si="6"/>
        <v>6430PremiumMFWDIVT</v>
      </c>
      <c r="B69">
        <v>67</v>
      </c>
      <c r="C69" t="s">
        <v>76</v>
      </c>
      <c r="D69" t="s">
        <v>71</v>
      </c>
      <c r="E69" t="s">
        <v>64</v>
      </c>
      <c r="F69" t="s">
        <v>75</v>
      </c>
      <c r="G69" s="53">
        <v>39870</v>
      </c>
      <c r="H69">
        <v>4800</v>
      </c>
      <c r="I69">
        <v>862.38532</v>
      </c>
      <c r="J69">
        <v>150</v>
      </c>
      <c r="K69">
        <v>400</v>
      </c>
      <c r="L69">
        <v>2645.5</v>
      </c>
      <c r="M69">
        <v>880</v>
      </c>
      <c r="N69">
        <v>9000</v>
      </c>
      <c r="O69">
        <v>5800</v>
      </c>
      <c r="P69">
        <v>6800</v>
      </c>
      <c r="Q69" s="52">
        <f t="shared" si="7"/>
        <v>1564.7134893214893</v>
      </c>
      <c r="R69" s="52">
        <f t="shared" si="8"/>
        <v>3235.2865106785107</v>
      </c>
      <c r="S69" s="52">
        <f t="shared" si="9"/>
        <v>3235.286510678511</v>
      </c>
      <c r="T69">
        <v>-1239.4</v>
      </c>
      <c r="U69">
        <v>352.6</v>
      </c>
      <c r="V69" s="54">
        <v>1535</v>
      </c>
      <c r="W69" s="54">
        <v>983</v>
      </c>
      <c r="X69" t="s">
        <v>401</v>
      </c>
      <c r="Y69" t="s">
        <v>401</v>
      </c>
      <c r="Z69" t="s">
        <v>401</v>
      </c>
      <c r="AA69" t="s">
        <v>401</v>
      </c>
      <c r="AF69">
        <v>3303</v>
      </c>
      <c r="AG69">
        <f>VLOOKUP('Ballast Calculator'!$D$67,'Drop down Options'!$CS$289:$CV$293,4,FALSE)*Platforms!T69/Platforms!L69</f>
        <v>-290.4660744660745</v>
      </c>
      <c r="AH69">
        <f>VLOOKUP('Ballast Calculator'!$D$67,'Drop down Options'!$CS$289:$CV$293,4,FALSE)+(VLOOKUP('Ballast Calculator'!$D$67,'Drop down Options'!$CS$289:$CV$293,4,FALSE)*T69)/L69</f>
        <v>329.5339255339255</v>
      </c>
      <c r="AI69">
        <f>VLOOKUP('Ballast Calculator'!$D$67,'Drop down Options'!$CS$289:$CV$293,4,FALSE)*(Platforms!L69+Platforms!T69)/Platforms!L69</f>
        <v>329.5339255339255</v>
      </c>
      <c r="AJ69">
        <v>-942.7</v>
      </c>
      <c r="AK69">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69">
        <f>IF(VLOOKUP('Ballast Calculator'!$D$50,'Drop down Options'!$AN$202:$AQ$210,4,FALSE)="",0,Platforms!AK69)</f>
        <v>2494.5318654318653</v>
      </c>
      <c r="AM69">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69">
        <f>IF(VLOOKUP('Ballast Calculator'!$D$50,'Drop down Options'!$AN$202:$AQ$210,4,FALSE)="",0,Platforms!AM69)</f>
        <v>-1106.2318654318653</v>
      </c>
      <c r="AO69">
        <f>VLOOKUP('Ballast Calculator'!$D$54,'Drop down Options'!$CN$277:$CR$280,5,FALSE)*Platforms!AJ69/Platforms!L69</f>
        <v>0</v>
      </c>
      <c r="AP69" s="167">
        <f>VLOOKUP('Ballast Calculator'!$D$54,'Drop down Options'!$CN$277:$CR$280,5,FALSE)+VLOOKUP('Ballast Calculator'!$D$54,'Drop down Options'!$CN$277:$CR$280,5,FALSE)*Platforms!AJ69/Platforms!L69</f>
        <v>0</v>
      </c>
      <c r="AQ69" s="167">
        <f>VLOOKUP('Ballast Calculator'!$D$54,'Drop down Options'!$CN$277:$CR$280,5,FALSE)*(Platforms!AJ69+Platforms!L69)/Platforms!L69</f>
        <v>0</v>
      </c>
      <c r="AR69">
        <f>VLOOKUP('Ballast Calculator'!$D$61,'Drop down Options'!$BW$215:$BZ$248,4,FALSE)*(Platforms!L69+Platforms!AF69)/Platforms!L69</f>
        <v>0</v>
      </c>
      <c r="AS69" s="167">
        <f>-AR69+VLOOKUP('Ballast Calculator'!$D$61,'Drop down Options'!$BW$215:$BZ$248,4,FALSE)</f>
        <v>0</v>
      </c>
      <c r="AT69" s="167">
        <f>-VLOOKUP('Ballast Calculator'!$D$61,'Drop down Options'!$BW$215:$BZ$248,4,FALSE)*Platforms!AF69/Platforms!L69</f>
        <v>0</v>
      </c>
      <c r="AU69">
        <v>0</v>
      </c>
      <c r="AV69">
        <f>VLOOKUP('Ballast Calculator'!$D$64,'Drop down Options'!$CF$253:$CI$272,4,FALSE)</f>
        <v>77</v>
      </c>
      <c r="AW69">
        <f>VLOOKUP('Ballast Calculator'!$D$67,'Drop down Options'!$CS$289:$CV$293,4,FALSE)*Platforms!AZ69/Platforms!L69</f>
        <v>-290.3957663957664</v>
      </c>
      <c r="AX69">
        <f>AW69+VLOOKUP('Ballast Calculator'!$D$67,'Drop down Options'!$CS$289:$CV$293,4,FALSE)</f>
        <v>329.6042336042336</v>
      </c>
      <c r="AY69">
        <f>VLOOKUP('Ballast Calculator'!$D$67,'Drop down Options'!$CS$289:$CV$293,4,FALSE)*(Platforms!AZ69+Platforms!L69)/Platforms!L69</f>
        <v>329.6042336042336</v>
      </c>
      <c r="AZ69">
        <f t="shared" si="10"/>
        <v>-1239.1</v>
      </c>
    </row>
    <row r="70" spans="1:52" ht="12.75">
      <c r="A70" s="52" t="str">
        <f t="shared" si="6"/>
        <v>6430PremiumMFWD TLSPQ+</v>
      </c>
      <c r="B70">
        <v>68</v>
      </c>
      <c r="C70" t="s">
        <v>76</v>
      </c>
      <c r="D70" t="s">
        <v>71</v>
      </c>
      <c r="E70" t="s">
        <v>73</v>
      </c>
      <c r="F70" t="s">
        <v>69</v>
      </c>
      <c r="G70" s="53">
        <v>39870</v>
      </c>
      <c r="H70">
        <v>4800</v>
      </c>
      <c r="I70">
        <v>862.38532</v>
      </c>
      <c r="J70">
        <v>150</v>
      </c>
      <c r="K70" s="54">
        <v>450</v>
      </c>
      <c r="L70" s="54">
        <v>2645.5</v>
      </c>
      <c r="M70">
        <v>880</v>
      </c>
      <c r="N70">
        <v>9000</v>
      </c>
      <c r="O70">
        <v>5800</v>
      </c>
      <c r="P70">
        <v>6800</v>
      </c>
      <c r="Q70" s="52">
        <f t="shared" si="7"/>
        <v>1564.7134893214893</v>
      </c>
      <c r="R70" s="52">
        <f t="shared" si="8"/>
        <v>3235.2865106785107</v>
      </c>
      <c r="S70" s="52">
        <f t="shared" si="9"/>
        <v>3235.286510678511</v>
      </c>
      <c r="T70">
        <v>-1239.4</v>
      </c>
      <c r="U70">
        <v>352.6</v>
      </c>
      <c r="V70" s="54">
        <v>1535</v>
      </c>
      <c r="W70" s="54">
        <v>983</v>
      </c>
      <c r="X70" t="s">
        <v>401</v>
      </c>
      <c r="Y70" t="s">
        <v>401</v>
      </c>
      <c r="Z70" t="s">
        <v>401</v>
      </c>
      <c r="AA70" t="s">
        <v>401</v>
      </c>
      <c r="AF70">
        <v>3303</v>
      </c>
      <c r="AG70">
        <f>VLOOKUP('Ballast Calculator'!$D$67,'Drop down Options'!$CS$289:$CV$293,4,FALSE)*Platforms!T70/Platforms!L70</f>
        <v>-290.4660744660745</v>
      </c>
      <c r="AH70">
        <f>VLOOKUP('Ballast Calculator'!$D$67,'Drop down Options'!$CS$289:$CV$293,4,FALSE)+(VLOOKUP('Ballast Calculator'!$D$67,'Drop down Options'!$CS$289:$CV$293,4,FALSE)*T70)/L70</f>
        <v>329.5339255339255</v>
      </c>
      <c r="AI70">
        <f>VLOOKUP('Ballast Calculator'!$D$67,'Drop down Options'!$CS$289:$CV$293,4,FALSE)*(Platforms!L70+Platforms!T70)/Platforms!L70</f>
        <v>329.5339255339255</v>
      </c>
      <c r="AJ70">
        <v>-942.7</v>
      </c>
      <c r="AK70">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70">
        <f>IF(VLOOKUP('Ballast Calculator'!$D$50,'Drop down Options'!$AN$202:$AQ$210,4,FALSE)="",0,Platforms!AK70)</f>
        <v>2494.5318654318653</v>
      </c>
      <c r="AM70">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70">
        <f>IF(VLOOKUP('Ballast Calculator'!$D$50,'Drop down Options'!$AN$202:$AQ$210,4,FALSE)="",0,Platforms!AM70)</f>
        <v>-1106.2318654318653</v>
      </c>
      <c r="AO70">
        <f>VLOOKUP('Ballast Calculator'!$D$54,'Drop down Options'!$CN$277:$CR$280,5,FALSE)*Platforms!AJ70/Platforms!L70</f>
        <v>0</v>
      </c>
      <c r="AP70" s="167">
        <f>VLOOKUP('Ballast Calculator'!$D$54,'Drop down Options'!$CN$277:$CR$280,5,FALSE)+VLOOKUP('Ballast Calculator'!$D$54,'Drop down Options'!$CN$277:$CR$280,5,FALSE)*Platforms!AJ70/Platforms!L70</f>
        <v>0</v>
      </c>
      <c r="AQ70" s="167">
        <f>VLOOKUP('Ballast Calculator'!$D$54,'Drop down Options'!$CN$277:$CR$280,5,FALSE)*(Platforms!AJ70+Platforms!L70)/Platforms!L70</f>
        <v>0</v>
      </c>
      <c r="AR70">
        <f>VLOOKUP('Ballast Calculator'!$D$61,'Drop down Options'!$BW$215:$BZ$248,4,FALSE)*(Platforms!L70+Platforms!AF70)/Platforms!L70</f>
        <v>0</v>
      </c>
      <c r="AS70" s="167">
        <f>-AR70+VLOOKUP('Ballast Calculator'!$D$61,'Drop down Options'!$BW$215:$BZ$248,4,FALSE)</f>
        <v>0</v>
      </c>
      <c r="AT70" s="167">
        <f>-VLOOKUP('Ballast Calculator'!$D$61,'Drop down Options'!$BW$215:$BZ$248,4,FALSE)*Platforms!AF70/Platforms!L70</f>
        <v>0</v>
      </c>
      <c r="AU70">
        <v>0</v>
      </c>
      <c r="AV70">
        <f>VLOOKUP('Ballast Calculator'!$D$64,'Drop down Options'!$CF$253:$CI$272,4,FALSE)</f>
        <v>77</v>
      </c>
      <c r="AW70">
        <f>VLOOKUP('Ballast Calculator'!$D$67,'Drop down Options'!$CS$289:$CV$293,4,FALSE)*Platforms!AZ70/Platforms!L70</f>
        <v>-290.3957663957664</v>
      </c>
      <c r="AX70">
        <f>AW70+VLOOKUP('Ballast Calculator'!$D$67,'Drop down Options'!$CS$289:$CV$293,4,FALSE)</f>
        <v>329.6042336042336</v>
      </c>
      <c r="AY70">
        <f>VLOOKUP('Ballast Calculator'!$D$67,'Drop down Options'!$CS$289:$CV$293,4,FALSE)*(Platforms!AZ70+Platforms!L70)/Platforms!L70</f>
        <v>329.6042336042336</v>
      </c>
      <c r="AZ70">
        <f t="shared" si="10"/>
        <v>-1239.1</v>
      </c>
    </row>
    <row r="71" spans="1:52" ht="12.75">
      <c r="A71" s="52" t="str">
        <f t="shared" si="6"/>
        <v>6430PremiumMFWD TLSAQ+</v>
      </c>
      <c r="B71">
        <v>69</v>
      </c>
      <c r="C71" t="s">
        <v>76</v>
      </c>
      <c r="D71" t="s">
        <v>71</v>
      </c>
      <c r="E71" t="s">
        <v>73</v>
      </c>
      <c r="F71" t="s">
        <v>72</v>
      </c>
      <c r="G71" s="53">
        <v>39870</v>
      </c>
      <c r="H71">
        <v>4800</v>
      </c>
      <c r="I71">
        <v>862.38532</v>
      </c>
      <c r="J71">
        <v>150</v>
      </c>
      <c r="K71" s="54">
        <v>450</v>
      </c>
      <c r="L71" s="54">
        <v>2645.5</v>
      </c>
      <c r="M71">
        <v>880</v>
      </c>
      <c r="N71">
        <v>9000</v>
      </c>
      <c r="O71">
        <v>5800</v>
      </c>
      <c r="P71">
        <v>6800</v>
      </c>
      <c r="Q71" s="52">
        <f t="shared" si="7"/>
        <v>1564.7134893214893</v>
      </c>
      <c r="R71" s="52">
        <f t="shared" si="8"/>
        <v>3235.2865106785107</v>
      </c>
      <c r="S71" s="52">
        <f t="shared" si="9"/>
        <v>3235.286510678511</v>
      </c>
      <c r="T71">
        <v>-1239.4</v>
      </c>
      <c r="U71">
        <v>352.6</v>
      </c>
      <c r="V71" s="54">
        <v>1535</v>
      </c>
      <c r="W71" s="54">
        <v>983</v>
      </c>
      <c r="X71" t="s">
        <v>401</v>
      </c>
      <c r="Y71" t="s">
        <v>401</v>
      </c>
      <c r="Z71" t="s">
        <v>401</v>
      </c>
      <c r="AA71" t="s">
        <v>401</v>
      </c>
      <c r="AF71">
        <v>3303</v>
      </c>
      <c r="AG71">
        <f>VLOOKUP('Ballast Calculator'!$D$67,'Drop down Options'!$CS$289:$CV$293,4,FALSE)*Platforms!T71/Platforms!L71</f>
        <v>-290.4660744660745</v>
      </c>
      <c r="AH71">
        <f>VLOOKUP('Ballast Calculator'!$D$67,'Drop down Options'!$CS$289:$CV$293,4,FALSE)+(VLOOKUP('Ballast Calculator'!$D$67,'Drop down Options'!$CS$289:$CV$293,4,FALSE)*T71)/L71</f>
        <v>329.5339255339255</v>
      </c>
      <c r="AI71">
        <f>VLOOKUP('Ballast Calculator'!$D$67,'Drop down Options'!$CS$289:$CV$293,4,FALSE)*(Platforms!L71+Platforms!T71)/Platforms!L71</f>
        <v>329.5339255339255</v>
      </c>
      <c r="AJ71">
        <v>-942.7</v>
      </c>
      <c r="AK71">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71">
        <f>IF(VLOOKUP('Ballast Calculator'!$D$50,'Drop down Options'!$AN$202:$AQ$210,4,FALSE)="",0,Platforms!AK71)</f>
        <v>2494.5318654318653</v>
      </c>
      <c r="AM71">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71">
        <f>IF(VLOOKUP('Ballast Calculator'!$D$50,'Drop down Options'!$AN$202:$AQ$210,4,FALSE)="",0,Platforms!AM71)</f>
        <v>-1106.2318654318653</v>
      </c>
      <c r="AO71">
        <f>VLOOKUP('Ballast Calculator'!$D$54,'Drop down Options'!$CN$277:$CR$280,5,FALSE)*Platforms!AJ71/Platforms!L71</f>
        <v>0</v>
      </c>
      <c r="AP71" s="167">
        <f>VLOOKUP('Ballast Calculator'!$D$54,'Drop down Options'!$CN$277:$CR$280,5,FALSE)+VLOOKUP('Ballast Calculator'!$D$54,'Drop down Options'!$CN$277:$CR$280,5,FALSE)*Platforms!AJ71/Platforms!L71</f>
        <v>0</v>
      </c>
      <c r="AQ71" s="167">
        <f>VLOOKUP('Ballast Calculator'!$D$54,'Drop down Options'!$CN$277:$CR$280,5,FALSE)*(Platforms!AJ71+Platforms!L71)/Platforms!L71</f>
        <v>0</v>
      </c>
      <c r="AR71">
        <f>VLOOKUP('Ballast Calculator'!$D$61,'Drop down Options'!$BW$215:$BZ$248,4,FALSE)*(Platforms!L71+Platforms!AF71)/Platforms!L71</f>
        <v>0</v>
      </c>
      <c r="AS71" s="167">
        <f>-AR71+VLOOKUP('Ballast Calculator'!$D$61,'Drop down Options'!$BW$215:$BZ$248,4,FALSE)</f>
        <v>0</v>
      </c>
      <c r="AT71" s="167">
        <f>-VLOOKUP('Ballast Calculator'!$D$61,'Drop down Options'!$BW$215:$BZ$248,4,FALSE)*Platforms!AF71/Platforms!L71</f>
        <v>0</v>
      </c>
      <c r="AU71">
        <v>0</v>
      </c>
      <c r="AV71">
        <f>VLOOKUP('Ballast Calculator'!$D$64,'Drop down Options'!$CF$253:$CI$272,4,FALSE)</f>
        <v>77</v>
      </c>
      <c r="AW71">
        <f>VLOOKUP('Ballast Calculator'!$D$67,'Drop down Options'!$CS$289:$CV$293,4,FALSE)*Platforms!AZ71/Platforms!L71</f>
        <v>-290.3957663957664</v>
      </c>
      <c r="AX71">
        <f>AW71+VLOOKUP('Ballast Calculator'!$D$67,'Drop down Options'!$CS$289:$CV$293,4,FALSE)</f>
        <v>329.6042336042336</v>
      </c>
      <c r="AY71">
        <f>VLOOKUP('Ballast Calculator'!$D$67,'Drop down Options'!$CS$289:$CV$293,4,FALSE)*(Platforms!AZ71+Platforms!L71)/Platforms!L71</f>
        <v>329.6042336042336</v>
      </c>
      <c r="AZ71">
        <f t="shared" si="10"/>
        <v>-1239.1</v>
      </c>
    </row>
    <row r="72" spans="1:52" ht="12.75">
      <c r="A72" s="52" t="str">
        <f t="shared" si="6"/>
        <v>6430PremiumMFWD TLSIVT</v>
      </c>
      <c r="B72">
        <v>70</v>
      </c>
      <c r="C72" t="s">
        <v>76</v>
      </c>
      <c r="D72" t="s">
        <v>71</v>
      </c>
      <c r="E72" t="s">
        <v>73</v>
      </c>
      <c r="F72" t="s">
        <v>75</v>
      </c>
      <c r="G72" s="53">
        <v>39870</v>
      </c>
      <c r="H72">
        <v>4800</v>
      </c>
      <c r="I72">
        <v>862.38532</v>
      </c>
      <c r="J72">
        <v>150</v>
      </c>
      <c r="K72" s="54">
        <v>450</v>
      </c>
      <c r="L72" s="54">
        <v>2645.5</v>
      </c>
      <c r="M72">
        <v>880</v>
      </c>
      <c r="N72">
        <v>9000</v>
      </c>
      <c r="O72">
        <v>5800</v>
      </c>
      <c r="P72">
        <v>6800</v>
      </c>
      <c r="Q72" s="52">
        <f t="shared" si="7"/>
        <v>1564.7134893214893</v>
      </c>
      <c r="R72" s="52">
        <f t="shared" si="8"/>
        <v>3235.2865106785107</v>
      </c>
      <c r="S72" s="52">
        <f t="shared" si="9"/>
        <v>3235.286510678511</v>
      </c>
      <c r="T72">
        <v>-1239.4</v>
      </c>
      <c r="U72">
        <v>352.6</v>
      </c>
      <c r="V72" s="54">
        <v>1535</v>
      </c>
      <c r="W72" s="54">
        <v>983</v>
      </c>
      <c r="X72" t="s">
        <v>401</v>
      </c>
      <c r="Y72" t="s">
        <v>401</v>
      </c>
      <c r="Z72" t="s">
        <v>401</v>
      </c>
      <c r="AA72" t="s">
        <v>401</v>
      </c>
      <c r="AF72">
        <v>3303</v>
      </c>
      <c r="AG72">
        <f>VLOOKUP('Ballast Calculator'!$D$67,'Drop down Options'!$CS$289:$CV$293,4,FALSE)*Platforms!T72/Platforms!L72</f>
        <v>-290.4660744660745</v>
      </c>
      <c r="AH72">
        <f>VLOOKUP('Ballast Calculator'!$D$67,'Drop down Options'!$CS$289:$CV$293,4,FALSE)+(VLOOKUP('Ballast Calculator'!$D$67,'Drop down Options'!$CS$289:$CV$293,4,FALSE)*T72)/L72</f>
        <v>329.5339255339255</v>
      </c>
      <c r="AI72">
        <f>VLOOKUP('Ballast Calculator'!$D$67,'Drop down Options'!$CS$289:$CV$293,4,FALSE)*(Platforms!L72+Platforms!T72)/Platforms!L72</f>
        <v>329.5339255339255</v>
      </c>
      <c r="AJ72">
        <v>-942.7</v>
      </c>
      <c r="AK72">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72">
        <f>IF(VLOOKUP('Ballast Calculator'!$D$50,'Drop down Options'!$AN$202:$AQ$210,4,FALSE)="",0,Platforms!AK72)</f>
        <v>2494.5318654318653</v>
      </c>
      <c r="AM72">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72">
        <f>IF(VLOOKUP('Ballast Calculator'!$D$50,'Drop down Options'!$AN$202:$AQ$210,4,FALSE)="",0,Platforms!AM72)</f>
        <v>-1106.2318654318653</v>
      </c>
      <c r="AO72">
        <f>VLOOKUP('Ballast Calculator'!$D$54,'Drop down Options'!$CN$277:$CR$280,5,FALSE)*Platforms!AJ72/Platforms!L72</f>
        <v>0</v>
      </c>
      <c r="AP72" s="167">
        <f>VLOOKUP('Ballast Calculator'!$D$54,'Drop down Options'!$CN$277:$CR$280,5,FALSE)+VLOOKUP('Ballast Calculator'!$D$54,'Drop down Options'!$CN$277:$CR$280,5,FALSE)*Platforms!AJ72/Platforms!L72</f>
        <v>0</v>
      </c>
      <c r="AQ72" s="167">
        <f>VLOOKUP('Ballast Calculator'!$D$54,'Drop down Options'!$CN$277:$CR$280,5,FALSE)*(Platforms!AJ72+Platforms!L72)/Platforms!L72</f>
        <v>0</v>
      </c>
      <c r="AR72">
        <f>VLOOKUP('Ballast Calculator'!$D$61,'Drop down Options'!$BW$215:$BZ$248,4,FALSE)*(Platforms!L72+Platforms!AF72)/Platforms!L72</f>
        <v>0</v>
      </c>
      <c r="AS72" s="167">
        <f>-AR72+VLOOKUP('Ballast Calculator'!$D$61,'Drop down Options'!$BW$215:$BZ$248,4,FALSE)</f>
        <v>0</v>
      </c>
      <c r="AT72" s="167">
        <f>-VLOOKUP('Ballast Calculator'!$D$61,'Drop down Options'!$BW$215:$BZ$248,4,FALSE)*Platforms!AF72/Platforms!L72</f>
        <v>0</v>
      </c>
      <c r="AU72">
        <v>0</v>
      </c>
      <c r="AV72">
        <f>VLOOKUP('Ballast Calculator'!$D$64,'Drop down Options'!$CF$253:$CI$272,4,FALSE)</f>
        <v>77</v>
      </c>
      <c r="AW72">
        <f>VLOOKUP('Ballast Calculator'!$D$67,'Drop down Options'!$CS$289:$CV$293,4,FALSE)*Platforms!AZ72/Platforms!L72</f>
        <v>-290.3957663957664</v>
      </c>
      <c r="AX72">
        <f>AW72+VLOOKUP('Ballast Calculator'!$D$67,'Drop down Options'!$CS$289:$CV$293,4,FALSE)</f>
        <v>329.6042336042336</v>
      </c>
      <c r="AY72">
        <f>VLOOKUP('Ballast Calculator'!$D$67,'Drop down Options'!$CS$289:$CV$293,4,FALSE)*(Platforms!AZ72+Platforms!L72)/Platforms!L72</f>
        <v>329.6042336042336</v>
      </c>
      <c r="AZ72">
        <f t="shared" si="10"/>
        <v>-1239.1</v>
      </c>
    </row>
    <row r="73" spans="1:52" ht="12.75">
      <c r="A73" s="52" t="str">
        <f t="shared" si="6"/>
        <v>7130CAB2WDS+</v>
      </c>
      <c r="B73">
        <v>71</v>
      </c>
      <c r="C73" t="s">
        <v>77</v>
      </c>
      <c r="D73" t="s">
        <v>60</v>
      </c>
      <c r="E73" t="s">
        <v>6</v>
      </c>
      <c r="F73" t="s">
        <v>68</v>
      </c>
      <c r="G73" s="53">
        <v>39870</v>
      </c>
      <c r="H73">
        <v>4800</v>
      </c>
      <c r="I73">
        <v>1039.46875</v>
      </c>
      <c r="J73">
        <v>137</v>
      </c>
      <c r="K73">
        <v>272.9</v>
      </c>
      <c r="L73">
        <v>2710</v>
      </c>
      <c r="M73">
        <v>880</v>
      </c>
      <c r="N73">
        <v>7600</v>
      </c>
      <c r="O73">
        <v>5000</v>
      </c>
      <c r="P73">
        <v>5600</v>
      </c>
      <c r="Q73" s="52">
        <f t="shared" si="7"/>
        <v>1841.1254612546124</v>
      </c>
      <c r="R73" s="52">
        <f t="shared" si="8"/>
        <v>2958.8745387453873</v>
      </c>
      <c r="S73" s="52">
        <f t="shared" si="9"/>
        <v>2958.8745387453873</v>
      </c>
      <c r="T73">
        <v>-1239.4</v>
      </c>
      <c r="U73">
        <v>352.6</v>
      </c>
      <c r="V73" s="54">
        <v>1583</v>
      </c>
      <c r="W73" s="54">
        <v>965</v>
      </c>
      <c r="X73" t="s">
        <v>401</v>
      </c>
      <c r="Y73" t="s">
        <v>401</v>
      </c>
      <c r="Z73" t="s">
        <v>401</v>
      </c>
      <c r="AA73" t="s">
        <v>401</v>
      </c>
      <c r="AB73" t="s">
        <v>401</v>
      </c>
      <c r="AC73" t="s">
        <v>401</v>
      </c>
      <c r="AD73" t="s">
        <v>401</v>
      </c>
      <c r="AE73" t="s">
        <v>401</v>
      </c>
      <c r="AF73">
        <f>2650+1006</f>
        <v>3656</v>
      </c>
      <c r="AG73">
        <f>VLOOKUP('Ballast Calculator'!$D$67,'Drop down Options'!$CS$289:$CV$293,4,FALSE)*Platforms!T73/Platforms!L73</f>
        <v>-283.55276752767526</v>
      </c>
      <c r="AH73">
        <f>VLOOKUP('Ballast Calculator'!$D$67,'Drop down Options'!$CS$289:$CV$293,4,FALSE)+(VLOOKUP('Ballast Calculator'!$D$67,'Drop down Options'!$CS$289:$CV$293,4,FALSE)*T73)/L73</f>
        <v>336.44723247232474</v>
      </c>
      <c r="AI73">
        <f>VLOOKUP('Ballast Calculator'!$D$67,'Drop down Options'!$CS$289:$CV$293,4,FALSE)*(Platforms!L73+Platforms!T73)/Platforms!L73</f>
        <v>336.44723247232474</v>
      </c>
      <c r="AJ73">
        <v>-942.7</v>
      </c>
      <c r="AK73">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73">
        <f>IF(VLOOKUP('Ballast Calculator'!$D$50,'Drop down Options'!$AN$202:$AQ$210,4,FALSE)="",0,Platforms!AK73)</f>
        <v>2494.5318654318653</v>
      </c>
      <c r="AM73">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73">
        <f>IF(VLOOKUP('Ballast Calculator'!$D$50,'Drop down Options'!$AN$202:$AQ$210,4,FALSE)="",0,Platforms!AM73)</f>
        <v>-1106.2318654318653</v>
      </c>
      <c r="AO73">
        <f>VLOOKUP('Ballast Calculator'!$D$54,'Drop down Options'!$CN$277:$CR$280,5,FALSE)*Platforms!AJ73/Platforms!L73</f>
        <v>0</v>
      </c>
      <c r="AP73" s="167">
        <f>VLOOKUP('Ballast Calculator'!$D$54,'Drop down Options'!$CN$277:$CR$280,5,FALSE)+VLOOKUP('Ballast Calculator'!$D$54,'Drop down Options'!$CN$277:$CR$280,5,FALSE)*Platforms!AJ73/Platforms!L73</f>
        <v>0</v>
      </c>
      <c r="AQ73" s="167">
        <f>VLOOKUP('Ballast Calculator'!$D$54,'Drop down Options'!$CN$277:$CR$280,5,FALSE)*(Platforms!AJ73+Platforms!L73)/Platforms!L73</f>
        <v>0</v>
      </c>
      <c r="AR73">
        <f>VLOOKUP('Ballast Calculator'!$D$61,'Drop down Options'!$BW$215:$BZ$248,4,FALSE)*(Platforms!L73+Platforms!AF73)/Platforms!L73</f>
        <v>0</v>
      </c>
      <c r="AS73" s="167">
        <f>-AR73+VLOOKUP('Ballast Calculator'!$D$61,'Drop down Options'!$BW$215:$BZ$248,4,FALSE)</f>
        <v>0</v>
      </c>
      <c r="AT73" s="167">
        <f>-VLOOKUP('Ballast Calculator'!$D$61,'Drop down Options'!$BW$215:$BZ$248,4,FALSE)*Platforms!AF73/Platforms!L73</f>
        <v>0</v>
      </c>
      <c r="AU73">
        <v>0</v>
      </c>
      <c r="AV73">
        <f>VLOOKUP('Ballast Calculator'!$D$64,'Drop down Options'!$CF$253:$CI$272,4,FALSE)</f>
        <v>77</v>
      </c>
      <c r="AW73">
        <f>VLOOKUP('Ballast Calculator'!$D$67,'Drop down Options'!$CS$289:$CV$293,4,FALSE)*Platforms!AZ73/Platforms!L73</f>
        <v>-283.4841328413284</v>
      </c>
      <c r="AX73">
        <f>AW73+VLOOKUP('Ballast Calculator'!$D$67,'Drop down Options'!$CS$289:$CV$293,4,FALSE)</f>
        <v>336.5158671586716</v>
      </c>
      <c r="AY73">
        <f>VLOOKUP('Ballast Calculator'!$D$67,'Drop down Options'!$CS$289:$CV$293,4,FALSE)*(Platforms!AZ73+Platforms!L73)/Platforms!L73</f>
        <v>336.5158671586716</v>
      </c>
      <c r="AZ73">
        <f t="shared" si="10"/>
        <v>-1239.1</v>
      </c>
    </row>
    <row r="74" spans="1:52" ht="12.75">
      <c r="A74" s="52" t="str">
        <f t="shared" si="6"/>
        <v>7130CAB2WDPQ+</v>
      </c>
      <c r="B74">
        <v>72</v>
      </c>
      <c r="C74" t="s">
        <v>77</v>
      </c>
      <c r="D74" t="s">
        <v>60</v>
      </c>
      <c r="E74" t="s">
        <v>6</v>
      </c>
      <c r="F74" t="s">
        <v>69</v>
      </c>
      <c r="G74" s="53">
        <v>39870</v>
      </c>
      <c r="H74">
        <v>4800</v>
      </c>
      <c r="I74">
        <v>1039.46875</v>
      </c>
      <c r="J74">
        <v>137</v>
      </c>
      <c r="K74">
        <v>272.9</v>
      </c>
      <c r="L74">
        <v>2710</v>
      </c>
      <c r="M74">
        <v>880</v>
      </c>
      <c r="N74">
        <v>7600</v>
      </c>
      <c r="O74">
        <v>5000</v>
      </c>
      <c r="P74">
        <v>5600</v>
      </c>
      <c r="Q74" s="52">
        <f t="shared" si="7"/>
        <v>1841.1254612546124</v>
      </c>
      <c r="R74" s="52">
        <f t="shared" si="8"/>
        <v>2958.8745387453873</v>
      </c>
      <c r="S74" s="52">
        <f t="shared" si="9"/>
        <v>2958.8745387453873</v>
      </c>
      <c r="T74">
        <v>-1239.4</v>
      </c>
      <c r="U74">
        <v>352.6</v>
      </c>
      <c r="V74" s="54">
        <v>1583</v>
      </c>
      <c r="W74" s="54">
        <v>965</v>
      </c>
      <c r="X74" t="s">
        <v>401</v>
      </c>
      <c r="Y74" t="s">
        <v>401</v>
      </c>
      <c r="Z74" t="s">
        <v>401</v>
      </c>
      <c r="AA74" t="s">
        <v>401</v>
      </c>
      <c r="AB74" t="s">
        <v>401</v>
      </c>
      <c r="AC74" t="s">
        <v>401</v>
      </c>
      <c r="AD74" t="s">
        <v>401</v>
      </c>
      <c r="AE74" t="s">
        <v>401</v>
      </c>
      <c r="AF74">
        <f aca="true" t="shared" si="11" ref="AF74:AF106">2650+1006</f>
        <v>3656</v>
      </c>
      <c r="AG74">
        <f>VLOOKUP('Ballast Calculator'!$D$67,'Drop down Options'!$CS$289:$CV$293,4,FALSE)*Platforms!T74/Platforms!L74</f>
        <v>-283.55276752767526</v>
      </c>
      <c r="AH74">
        <f>VLOOKUP('Ballast Calculator'!$D$67,'Drop down Options'!$CS$289:$CV$293,4,FALSE)+(VLOOKUP('Ballast Calculator'!$D$67,'Drop down Options'!$CS$289:$CV$293,4,FALSE)*T74)/L74</f>
        <v>336.44723247232474</v>
      </c>
      <c r="AI74">
        <f>VLOOKUP('Ballast Calculator'!$D$67,'Drop down Options'!$CS$289:$CV$293,4,FALSE)*(Platforms!L74+Platforms!T74)/Platforms!L74</f>
        <v>336.44723247232474</v>
      </c>
      <c r="AJ74">
        <v>-942.7</v>
      </c>
      <c r="AK74">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74">
        <f>IF(VLOOKUP('Ballast Calculator'!$D$50,'Drop down Options'!$AN$202:$AQ$210,4,FALSE)="",0,Platforms!AK74)</f>
        <v>2494.5318654318653</v>
      </c>
      <c r="AM74">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74">
        <f>IF(VLOOKUP('Ballast Calculator'!$D$50,'Drop down Options'!$AN$202:$AQ$210,4,FALSE)="",0,Platforms!AM74)</f>
        <v>-1106.2318654318653</v>
      </c>
      <c r="AO74">
        <f>VLOOKUP('Ballast Calculator'!$D$54,'Drop down Options'!$CN$277:$CR$280,5,FALSE)*Platforms!AJ74/Platforms!L74</f>
        <v>0</v>
      </c>
      <c r="AP74" s="167">
        <f>VLOOKUP('Ballast Calculator'!$D$54,'Drop down Options'!$CN$277:$CR$280,5,FALSE)+VLOOKUP('Ballast Calculator'!$D$54,'Drop down Options'!$CN$277:$CR$280,5,FALSE)*Platforms!AJ74/Platforms!L74</f>
        <v>0</v>
      </c>
      <c r="AQ74" s="167">
        <f>VLOOKUP('Ballast Calculator'!$D$54,'Drop down Options'!$CN$277:$CR$280,5,FALSE)*(Platforms!AJ74+Platforms!L74)/Platforms!L74</f>
        <v>0</v>
      </c>
      <c r="AR74">
        <f>VLOOKUP('Ballast Calculator'!$D$61,'Drop down Options'!$BW$215:$BZ$248,4,FALSE)*(Platforms!L74+Platforms!AF74)/Platforms!L74</f>
        <v>0</v>
      </c>
      <c r="AS74" s="167">
        <f>-AR74+VLOOKUP('Ballast Calculator'!$D$61,'Drop down Options'!$BW$215:$BZ$248,4,FALSE)</f>
        <v>0</v>
      </c>
      <c r="AT74" s="167">
        <f>-VLOOKUP('Ballast Calculator'!$D$61,'Drop down Options'!$BW$215:$BZ$248,4,FALSE)*Platforms!AF74/Platforms!L74</f>
        <v>0</v>
      </c>
      <c r="AU74">
        <v>0</v>
      </c>
      <c r="AV74">
        <f>VLOOKUP('Ballast Calculator'!$D$64,'Drop down Options'!$CF$253:$CI$272,4,FALSE)</f>
        <v>77</v>
      </c>
      <c r="AW74">
        <f>VLOOKUP('Ballast Calculator'!$D$67,'Drop down Options'!$CS$289:$CV$293,4,FALSE)*Platforms!AZ74/Platforms!L74</f>
        <v>-283.4841328413284</v>
      </c>
      <c r="AX74">
        <f>AW74+VLOOKUP('Ballast Calculator'!$D$67,'Drop down Options'!$CS$289:$CV$293,4,FALSE)</f>
        <v>336.5158671586716</v>
      </c>
      <c r="AY74">
        <f>VLOOKUP('Ballast Calculator'!$D$67,'Drop down Options'!$CS$289:$CV$293,4,FALSE)*(Platforms!AZ74+Platforms!L74)/Platforms!L74</f>
        <v>336.5158671586716</v>
      </c>
      <c r="AZ74">
        <f t="shared" si="10"/>
        <v>-1239.1</v>
      </c>
    </row>
    <row r="75" spans="1:52" ht="12.75">
      <c r="A75" s="52" t="str">
        <f t="shared" si="6"/>
        <v>7130OOS2WDS+</v>
      </c>
      <c r="B75">
        <v>73</v>
      </c>
      <c r="C75" t="s">
        <v>77</v>
      </c>
      <c r="D75" t="s">
        <v>63</v>
      </c>
      <c r="E75" t="s">
        <v>6</v>
      </c>
      <c r="F75" s="54" t="s">
        <v>68</v>
      </c>
      <c r="G75" s="53">
        <v>39870</v>
      </c>
      <c r="H75">
        <v>4400</v>
      </c>
      <c r="I75">
        <v>1039.46875</v>
      </c>
      <c r="J75">
        <v>137</v>
      </c>
      <c r="K75">
        <v>272.9</v>
      </c>
      <c r="L75">
        <v>2710</v>
      </c>
      <c r="M75">
        <v>880</v>
      </c>
      <c r="N75">
        <v>7600</v>
      </c>
      <c r="O75">
        <v>5000</v>
      </c>
      <c r="P75">
        <v>5600</v>
      </c>
      <c r="Q75" s="52">
        <f t="shared" si="7"/>
        <v>1687.6983394833949</v>
      </c>
      <c r="R75" s="52">
        <f t="shared" si="8"/>
        <v>2712.301660516605</v>
      </c>
      <c r="S75" s="52">
        <f t="shared" si="9"/>
        <v>2712.3016605166054</v>
      </c>
      <c r="T75">
        <v>-1239.4</v>
      </c>
      <c r="U75">
        <v>352.6</v>
      </c>
      <c r="V75" s="54">
        <v>1583</v>
      </c>
      <c r="W75" s="54">
        <v>965</v>
      </c>
      <c r="X75" t="s">
        <v>401</v>
      </c>
      <c r="Y75" t="s">
        <v>401</v>
      </c>
      <c r="Z75" t="s">
        <v>401</v>
      </c>
      <c r="AA75" t="s">
        <v>401</v>
      </c>
      <c r="AB75" t="s">
        <v>401</v>
      </c>
      <c r="AC75" t="s">
        <v>401</v>
      </c>
      <c r="AD75" t="s">
        <v>401</v>
      </c>
      <c r="AE75" t="s">
        <v>401</v>
      </c>
      <c r="AF75">
        <f t="shared" si="11"/>
        <v>3656</v>
      </c>
      <c r="AG75">
        <f>VLOOKUP('Ballast Calculator'!$D$67,'Drop down Options'!$CS$289:$CV$293,4,FALSE)*Platforms!T75/Platforms!L75</f>
        <v>-283.55276752767526</v>
      </c>
      <c r="AH75">
        <f>VLOOKUP('Ballast Calculator'!$D$67,'Drop down Options'!$CS$289:$CV$293,4,FALSE)+(VLOOKUP('Ballast Calculator'!$D$67,'Drop down Options'!$CS$289:$CV$293,4,FALSE)*T75)/L75</f>
        <v>336.44723247232474</v>
      </c>
      <c r="AI75">
        <f>VLOOKUP('Ballast Calculator'!$D$67,'Drop down Options'!$CS$289:$CV$293,4,FALSE)*(Platforms!L75+Platforms!T75)/Platforms!L75</f>
        <v>336.44723247232474</v>
      </c>
      <c r="AJ75">
        <v>-942.7</v>
      </c>
      <c r="AK75">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75">
        <f>IF(VLOOKUP('Ballast Calculator'!$D$50,'Drop down Options'!$AN$202:$AQ$210,4,FALSE)="",0,Platforms!AK75)</f>
        <v>2494.5318654318653</v>
      </c>
      <c r="AM75">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75">
        <f>IF(VLOOKUP('Ballast Calculator'!$D$50,'Drop down Options'!$AN$202:$AQ$210,4,FALSE)="",0,Platforms!AM75)</f>
        <v>-1106.2318654318653</v>
      </c>
      <c r="AO75">
        <f>VLOOKUP('Ballast Calculator'!$D$54,'Drop down Options'!$CN$277:$CR$280,5,FALSE)*Platforms!AJ75/Platforms!L75</f>
        <v>0</v>
      </c>
      <c r="AP75" s="167">
        <f>VLOOKUP('Ballast Calculator'!$D$54,'Drop down Options'!$CN$277:$CR$280,5,FALSE)+VLOOKUP('Ballast Calculator'!$D$54,'Drop down Options'!$CN$277:$CR$280,5,FALSE)*Platforms!AJ75/Platforms!L75</f>
        <v>0</v>
      </c>
      <c r="AQ75" s="167">
        <f>VLOOKUP('Ballast Calculator'!$D$54,'Drop down Options'!$CN$277:$CR$280,5,FALSE)*(Platforms!AJ75+Platforms!L75)/Platforms!L75</f>
        <v>0</v>
      </c>
      <c r="AR75">
        <f>VLOOKUP('Ballast Calculator'!$D$61,'Drop down Options'!$BW$215:$BZ$248,4,FALSE)*(Platforms!L75+Platforms!AF75)/Platforms!L75</f>
        <v>0</v>
      </c>
      <c r="AS75" s="167">
        <f>-AR75+VLOOKUP('Ballast Calculator'!$D$61,'Drop down Options'!$BW$215:$BZ$248,4,FALSE)</f>
        <v>0</v>
      </c>
      <c r="AT75" s="167">
        <f>-VLOOKUP('Ballast Calculator'!$D$61,'Drop down Options'!$BW$215:$BZ$248,4,FALSE)*Platforms!AF75/Platforms!L75</f>
        <v>0</v>
      </c>
      <c r="AU75">
        <v>0</v>
      </c>
      <c r="AV75">
        <f>VLOOKUP('Ballast Calculator'!$D$64,'Drop down Options'!$CF$253:$CI$272,4,FALSE)</f>
        <v>77</v>
      </c>
      <c r="AW75">
        <f>VLOOKUP('Ballast Calculator'!$D$67,'Drop down Options'!$CS$289:$CV$293,4,FALSE)*Platforms!AZ75/Platforms!L75</f>
        <v>-283.4841328413284</v>
      </c>
      <c r="AX75">
        <f>AW75+VLOOKUP('Ballast Calculator'!$D$67,'Drop down Options'!$CS$289:$CV$293,4,FALSE)</f>
        <v>336.5158671586716</v>
      </c>
      <c r="AY75">
        <f>VLOOKUP('Ballast Calculator'!$D$67,'Drop down Options'!$CS$289:$CV$293,4,FALSE)*(Platforms!AZ75+Platforms!L75)/Platforms!L75</f>
        <v>336.5158671586716</v>
      </c>
      <c r="AZ75">
        <f t="shared" si="10"/>
        <v>-1239.1</v>
      </c>
    </row>
    <row r="76" spans="1:52" ht="12.75">
      <c r="A76" s="52" t="str">
        <f t="shared" si="6"/>
        <v>7130OOS2WDPQ</v>
      </c>
      <c r="B76">
        <v>74</v>
      </c>
      <c r="C76" t="s">
        <v>77</v>
      </c>
      <c r="D76" t="s">
        <v>63</v>
      </c>
      <c r="E76" t="s">
        <v>6</v>
      </c>
      <c r="F76" s="54" t="s">
        <v>70</v>
      </c>
      <c r="G76" s="53">
        <v>39870</v>
      </c>
      <c r="H76">
        <v>4400</v>
      </c>
      <c r="I76">
        <v>1039.46875</v>
      </c>
      <c r="J76">
        <v>137</v>
      </c>
      <c r="K76">
        <v>272.9</v>
      </c>
      <c r="L76">
        <v>2710</v>
      </c>
      <c r="M76">
        <v>880</v>
      </c>
      <c r="N76">
        <v>7600</v>
      </c>
      <c r="O76">
        <v>5000</v>
      </c>
      <c r="P76">
        <v>5600</v>
      </c>
      <c r="Q76" s="52">
        <f t="shared" si="7"/>
        <v>1687.6983394833949</v>
      </c>
      <c r="R76" s="52">
        <f t="shared" si="8"/>
        <v>2712.301660516605</v>
      </c>
      <c r="S76" s="52">
        <f t="shared" si="9"/>
        <v>2712.3016605166054</v>
      </c>
      <c r="T76">
        <v>-1239.4</v>
      </c>
      <c r="U76">
        <v>352.6</v>
      </c>
      <c r="V76" s="54">
        <v>1583</v>
      </c>
      <c r="W76" s="54">
        <v>965</v>
      </c>
      <c r="X76" t="s">
        <v>401</v>
      </c>
      <c r="Y76" t="s">
        <v>401</v>
      </c>
      <c r="Z76" t="s">
        <v>401</v>
      </c>
      <c r="AA76" t="s">
        <v>401</v>
      </c>
      <c r="AB76" t="s">
        <v>401</v>
      </c>
      <c r="AC76" t="s">
        <v>401</v>
      </c>
      <c r="AD76" t="s">
        <v>401</v>
      </c>
      <c r="AE76" t="s">
        <v>401</v>
      </c>
      <c r="AF76">
        <f t="shared" si="11"/>
        <v>3656</v>
      </c>
      <c r="AG76">
        <f>VLOOKUP('Ballast Calculator'!$D$67,'Drop down Options'!$CS$289:$CV$293,4,FALSE)*Platforms!T76/Platforms!L76</f>
        <v>-283.55276752767526</v>
      </c>
      <c r="AH76">
        <f>VLOOKUP('Ballast Calculator'!$D$67,'Drop down Options'!$CS$289:$CV$293,4,FALSE)+(VLOOKUP('Ballast Calculator'!$D$67,'Drop down Options'!$CS$289:$CV$293,4,FALSE)*T76)/L76</f>
        <v>336.44723247232474</v>
      </c>
      <c r="AI76">
        <f>VLOOKUP('Ballast Calculator'!$D$67,'Drop down Options'!$CS$289:$CV$293,4,FALSE)*(Platforms!L76+Platforms!T76)/Platforms!L76</f>
        <v>336.44723247232474</v>
      </c>
      <c r="AJ76">
        <v>-942.7</v>
      </c>
      <c r="AK76">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76">
        <f>IF(VLOOKUP('Ballast Calculator'!$D$50,'Drop down Options'!$AN$202:$AQ$210,4,FALSE)="",0,Platforms!AK76)</f>
        <v>2494.5318654318653</v>
      </c>
      <c r="AM76">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76">
        <f>IF(VLOOKUP('Ballast Calculator'!$D$50,'Drop down Options'!$AN$202:$AQ$210,4,FALSE)="",0,Platforms!AM76)</f>
        <v>-1106.2318654318653</v>
      </c>
      <c r="AO76">
        <f>VLOOKUP('Ballast Calculator'!$D$54,'Drop down Options'!$CN$277:$CR$280,5,FALSE)*Platforms!AJ76/Platforms!L76</f>
        <v>0</v>
      </c>
      <c r="AP76" s="167">
        <f>VLOOKUP('Ballast Calculator'!$D$54,'Drop down Options'!$CN$277:$CR$280,5,FALSE)+VLOOKUP('Ballast Calculator'!$D$54,'Drop down Options'!$CN$277:$CR$280,5,FALSE)*Platforms!AJ76/Platforms!L76</f>
        <v>0</v>
      </c>
      <c r="AQ76" s="167">
        <f>VLOOKUP('Ballast Calculator'!$D$54,'Drop down Options'!$CN$277:$CR$280,5,FALSE)*(Platforms!AJ76+Platforms!L76)/Platforms!L76</f>
        <v>0</v>
      </c>
      <c r="AR76">
        <f>VLOOKUP('Ballast Calculator'!$D$61,'Drop down Options'!$BW$215:$BZ$248,4,FALSE)*(Platforms!L76+Platforms!AF76)/Platforms!L76</f>
        <v>0</v>
      </c>
      <c r="AS76" s="167">
        <f>-AR76+VLOOKUP('Ballast Calculator'!$D$61,'Drop down Options'!$BW$215:$BZ$248,4,FALSE)</f>
        <v>0</v>
      </c>
      <c r="AT76" s="167">
        <f>-VLOOKUP('Ballast Calculator'!$D$61,'Drop down Options'!$BW$215:$BZ$248,4,FALSE)*Platforms!AF76/Platforms!L76</f>
        <v>0</v>
      </c>
      <c r="AU76">
        <v>0</v>
      </c>
      <c r="AV76">
        <f>VLOOKUP('Ballast Calculator'!$D$64,'Drop down Options'!$CF$253:$CI$272,4,FALSE)</f>
        <v>77</v>
      </c>
      <c r="AW76">
        <f>VLOOKUP('Ballast Calculator'!$D$67,'Drop down Options'!$CS$289:$CV$293,4,FALSE)*Platforms!AZ76/Platforms!L76</f>
        <v>-283.4841328413284</v>
      </c>
      <c r="AX76">
        <f>AW76+VLOOKUP('Ballast Calculator'!$D$67,'Drop down Options'!$CS$289:$CV$293,4,FALSE)</f>
        <v>336.5158671586716</v>
      </c>
      <c r="AY76">
        <f>VLOOKUP('Ballast Calculator'!$D$67,'Drop down Options'!$CS$289:$CV$293,4,FALSE)*(Platforms!AZ76+Platforms!L76)/Platforms!L76</f>
        <v>336.5158671586716</v>
      </c>
      <c r="AZ76">
        <f t="shared" si="10"/>
        <v>-1239.1</v>
      </c>
    </row>
    <row r="77" spans="1:52" ht="12.75">
      <c r="A77" s="52" t="str">
        <f t="shared" si="6"/>
        <v>7130Premium2WDPQ+</v>
      </c>
      <c r="B77">
        <v>75</v>
      </c>
      <c r="C77" t="s">
        <v>77</v>
      </c>
      <c r="D77" t="s">
        <v>71</v>
      </c>
      <c r="E77" t="s">
        <v>6</v>
      </c>
      <c r="F77" t="s">
        <v>69</v>
      </c>
      <c r="G77" s="53">
        <v>39870</v>
      </c>
      <c r="H77">
        <v>5400</v>
      </c>
      <c r="I77">
        <v>946</v>
      </c>
      <c r="J77">
        <v>137</v>
      </c>
      <c r="K77">
        <v>293.7</v>
      </c>
      <c r="L77">
        <v>2846</v>
      </c>
      <c r="M77">
        <v>880</v>
      </c>
      <c r="N77">
        <v>9500</v>
      </c>
      <c r="O77">
        <v>6500</v>
      </c>
      <c r="P77">
        <v>6800</v>
      </c>
      <c r="Q77" s="52">
        <f t="shared" si="7"/>
        <v>1794.9402670414618</v>
      </c>
      <c r="R77" s="52">
        <f t="shared" si="8"/>
        <v>3605.059732958538</v>
      </c>
      <c r="S77" s="52">
        <f t="shared" si="9"/>
        <v>3605.0597329585385</v>
      </c>
      <c r="T77">
        <v>-1239.4</v>
      </c>
      <c r="U77">
        <v>352.6</v>
      </c>
      <c r="V77" s="54">
        <v>1583</v>
      </c>
      <c r="W77" s="54">
        <v>965</v>
      </c>
      <c r="X77" t="s">
        <v>401</v>
      </c>
      <c r="Y77" t="s">
        <v>401</v>
      </c>
      <c r="Z77" t="s">
        <v>401</v>
      </c>
      <c r="AA77" t="s">
        <v>401</v>
      </c>
      <c r="AB77" t="s">
        <v>401</v>
      </c>
      <c r="AC77" t="s">
        <v>401</v>
      </c>
      <c r="AD77" t="s">
        <v>401</v>
      </c>
      <c r="AE77" t="s">
        <v>401</v>
      </c>
      <c r="AF77">
        <f t="shared" si="11"/>
        <v>3656</v>
      </c>
      <c r="AG77">
        <f>VLOOKUP('Ballast Calculator'!$D$67,'Drop down Options'!$CS$289:$CV$293,4,FALSE)*Platforms!T77/Platforms!L77</f>
        <v>-270.0028109627547</v>
      </c>
      <c r="AH77">
        <f>VLOOKUP('Ballast Calculator'!$D$67,'Drop down Options'!$CS$289:$CV$293,4,FALSE)+(VLOOKUP('Ballast Calculator'!$D$67,'Drop down Options'!$CS$289:$CV$293,4,FALSE)*T77)/L77</f>
        <v>349.9971890372453</v>
      </c>
      <c r="AI77">
        <f>VLOOKUP('Ballast Calculator'!$D$67,'Drop down Options'!$CS$289:$CV$293,4,FALSE)*(Platforms!L77+Platforms!T77)/Platforms!L77</f>
        <v>349.9971890372453</v>
      </c>
      <c r="AJ77">
        <v>-942.7</v>
      </c>
      <c r="AK77">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77">
        <f>IF(VLOOKUP('Ballast Calculator'!$D$50,'Drop down Options'!$AN$202:$AQ$210,4,FALSE)="",0,Platforms!AK77)</f>
        <v>2494.5318654318653</v>
      </c>
      <c r="AM77">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77">
        <f>IF(VLOOKUP('Ballast Calculator'!$D$50,'Drop down Options'!$AN$202:$AQ$210,4,FALSE)="",0,Platforms!AM77)</f>
        <v>-1106.2318654318653</v>
      </c>
      <c r="AO77">
        <f>VLOOKUP('Ballast Calculator'!$D$54,'Drop down Options'!$CN$277:$CR$280,5,FALSE)*Platforms!AJ77/Platforms!L77</f>
        <v>0</v>
      </c>
      <c r="AP77" s="167">
        <f>VLOOKUP('Ballast Calculator'!$D$54,'Drop down Options'!$CN$277:$CR$280,5,FALSE)+VLOOKUP('Ballast Calculator'!$D$54,'Drop down Options'!$CN$277:$CR$280,5,FALSE)*Platforms!AJ77/Platforms!L77</f>
        <v>0</v>
      </c>
      <c r="AQ77" s="167">
        <f>VLOOKUP('Ballast Calculator'!$D$54,'Drop down Options'!$CN$277:$CR$280,5,FALSE)*(Platforms!AJ77+Platforms!L77)/Platforms!L77</f>
        <v>0</v>
      </c>
      <c r="AR77">
        <f>VLOOKUP('Ballast Calculator'!$D$61,'Drop down Options'!$BW$215:$BZ$248,4,FALSE)*(Platforms!L77+Platforms!AF77)/Platforms!L77</f>
        <v>0</v>
      </c>
      <c r="AS77" s="167">
        <f>-AR77+VLOOKUP('Ballast Calculator'!$D$61,'Drop down Options'!$BW$215:$BZ$248,4,FALSE)</f>
        <v>0</v>
      </c>
      <c r="AT77" s="167">
        <f>-VLOOKUP('Ballast Calculator'!$D$61,'Drop down Options'!$BW$215:$BZ$248,4,FALSE)*Platforms!AF77/Platforms!L77</f>
        <v>0</v>
      </c>
      <c r="AU77">
        <v>0</v>
      </c>
      <c r="AV77">
        <f>VLOOKUP('Ballast Calculator'!$D$64,'Drop down Options'!$CF$253:$CI$272,4,FALSE)</f>
        <v>77</v>
      </c>
      <c r="AW77">
        <f>VLOOKUP('Ballast Calculator'!$D$67,'Drop down Options'!$CS$289:$CV$293,4,FALSE)*Platforms!AZ77/Platforms!L77</f>
        <v>-269.93745607870693</v>
      </c>
      <c r="AX77">
        <f>AW77+VLOOKUP('Ballast Calculator'!$D$67,'Drop down Options'!$CS$289:$CV$293,4,FALSE)</f>
        <v>350.06254392129307</v>
      </c>
      <c r="AY77">
        <f>VLOOKUP('Ballast Calculator'!$D$67,'Drop down Options'!$CS$289:$CV$293,4,FALSE)*(Platforms!AZ77+Platforms!L77)/Platforms!L77</f>
        <v>350.06254392129307</v>
      </c>
      <c r="AZ77">
        <f t="shared" si="10"/>
        <v>-1239.1</v>
      </c>
    </row>
    <row r="78" spans="1:52" ht="12.75">
      <c r="A78" s="52" t="str">
        <f t="shared" si="6"/>
        <v>7130Premium2WDAQ+</v>
      </c>
      <c r="B78">
        <v>76</v>
      </c>
      <c r="C78" t="s">
        <v>77</v>
      </c>
      <c r="D78" t="s">
        <v>71</v>
      </c>
      <c r="E78" t="s">
        <v>6</v>
      </c>
      <c r="F78" t="s">
        <v>72</v>
      </c>
      <c r="G78" s="53">
        <v>39870</v>
      </c>
      <c r="H78">
        <v>5400</v>
      </c>
      <c r="I78">
        <v>946</v>
      </c>
      <c r="J78">
        <v>137</v>
      </c>
      <c r="K78">
        <v>293.7</v>
      </c>
      <c r="L78">
        <v>2846</v>
      </c>
      <c r="M78">
        <v>880</v>
      </c>
      <c r="N78">
        <v>9500</v>
      </c>
      <c r="O78">
        <v>6500</v>
      </c>
      <c r="P78">
        <v>6800</v>
      </c>
      <c r="Q78" s="52">
        <f t="shared" si="7"/>
        <v>1794.9402670414618</v>
      </c>
      <c r="R78" s="52">
        <f t="shared" si="8"/>
        <v>3605.059732958538</v>
      </c>
      <c r="S78" s="52">
        <f t="shared" si="9"/>
        <v>3605.0597329585385</v>
      </c>
      <c r="T78">
        <v>-1239.4</v>
      </c>
      <c r="U78">
        <v>352.6</v>
      </c>
      <c r="V78" s="54">
        <v>1583</v>
      </c>
      <c r="W78" s="54">
        <v>965</v>
      </c>
      <c r="X78" t="s">
        <v>401</v>
      </c>
      <c r="Y78" t="s">
        <v>401</v>
      </c>
      <c r="Z78" t="s">
        <v>401</v>
      </c>
      <c r="AA78" t="s">
        <v>401</v>
      </c>
      <c r="AB78" t="s">
        <v>401</v>
      </c>
      <c r="AC78" t="s">
        <v>401</v>
      </c>
      <c r="AD78" t="s">
        <v>401</v>
      </c>
      <c r="AE78" t="s">
        <v>401</v>
      </c>
      <c r="AF78">
        <f t="shared" si="11"/>
        <v>3656</v>
      </c>
      <c r="AG78">
        <f>VLOOKUP('Ballast Calculator'!$D$67,'Drop down Options'!$CS$289:$CV$293,4,FALSE)*Platforms!T78/Platforms!L78</f>
        <v>-270.0028109627547</v>
      </c>
      <c r="AH78">
        <f>VLOOKUP('Ballast Calculator'!$D$67,'Drop down Options'!$CS$289:$CV$293,4,FALSE)+(VLOOKUP('Ballast Calculator'!$D$67,'Drop down Options'!$CS$289:$CV$293,4,FALSE)*T78)/L78</f>
        <v>349.9971890372453</v>
      </c>
      <c r="AI78">
        <f>VLOOKUP('Ballast Calculator'!$D$67,'Drop down Options'!$CS$289:$CV$293,4,FALSE)*(Platforms!L78+Platforms!T78)/Platforms!L78</f>
        <v>349.9971890372453</v>
      </c>
      <c r="AJ78">
        <v>-942.7</v>
      </c>
      <c r="AK78">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78">
        <f>IF(VLOOKUP('Ballast Calculator'!$D$50,'Drop down Options'!$AN$202:$AQ$210,4,FALSE)="",0,Platforms!AK78)</f>
        <v>2494.5318654318653</v>
      </c>
      <c r="AM78">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78">
        <f>IF(VLOOKUP('Ballast Calculator'!$D$50,'Drop down Options'!$AN$202:$AQ$210,4,FALSE)="",0,Platforms!AM78)</f>
        <v>-1106.2318654318653</v>
      </c>
      <c r="AO78">
        <f>VLOOKUP('Ballast Calculator'!$D$54,'Drop down Options'!$CN$277:$CR$280,5,FALSE)*Platforms!AJ78/Platforms!L78</f>
        <v>0</v>
      </c>
      <c r="AP78" s="167">
        <f>VLOOKUP('Ballast Calculator'!$D$54,'Drop down Options'!$CN$277:$CR$280,5,FALSE)+VLOOKUP('Ballast Calculator'!$D$54,'Drop down Options'!$CN$277:$CR$280,5,FALSE)*Platforms!AJ78/Platforms!L78</f>
        <v>0</v>
      </c>
      <c r="AQ78" s="167">
        <f>VLOOKUP('Ballast Calculator'!$D$54,'Drop down Options'!$CN$277:$CR$280,5,FALSE)*(Platforms!AJ78+Platforms!L78)/Platforms!L78</f>
        <v>0</v>
      </c>
      <c r="AR78">
        <f>VLOOKUP('Ballast Calculator'!$D$61,'Drop down Options'!$BW$215:$BZ$248,4,FALSE)*(Platforms!L78+Platforms!AF78)/Platforms!L78</f>
        <v>0</v>
      </c>
      <c r="AS78" s="167">
        <f>-AR78+VLOOKUP('Ballast Calculator'!$D$61,'Drop down Options'!$BW$215:$BZ$248,4,FALSE)</f>
        <v>0</v>
      </c>
      <c r="AT78" s="167">
        <f>-VLOOKUP('Ballast Calculator'!$D$61,'Drop down Options'!$BW$215:$BZ$248,4,FALSE)*Platforms!AF78/Platforms!L78</f>
        <v>0</v>
      </c>
      <c r="AU78">
        <v>0</v>
      </c>
      <c r="AV78">
        <f>VLOOKUP('Ballast Calculator'!$D$64,'Drop down Options'!$CF$253:$CI$272,4,FALSE)</f>
        <v>77</v>
      </c>
      <c r="AW78">
        <f>VLOOKUP('Ballast Calculator'!$D$67,'Drop down Options'!$CS$289:$CV$293,4,FALSE)*Platforms!AZ78/Platforms!L78</f>
        <v>-269.93745607870693</v>
      </c>
      <c r="AX78">
        <f>AW78+VLOOKUP('Ballast Calculator'!$D$67,'Drop down Options'!$CS$289:$CV$293,4,FALSE)</f>
        <v>350.06254392129307</v>
      </c>
      <c r="AY78">
        <f>VLOOKUP('Ballast Calculator'!$D$67,'Drop down Options'!$CS$289:$CV$293,4,FALSE)*(Platforms!AZ78+Platforms!L78)/Platforms!L78</f>
        <v>350.06254392129307</v>
      </c>
      <c r="AZ78">
        <f t="shared" si="10"/>
        <v>-1239.1</v>
      </c>
    </row>
    <row r="79" spans="1:52" ht="12.75">
      <c r="A79" s="52" t="str">
        <f t="shared" si="6"/>
        <v>7130Premium2WDIVT</v>
      </c>
      <c r="B79">
        <v>77</v>
      </c>
      <c r="C79" t="s">
        <v>77</v>
      </c>
      <c r="D79" t="s">
        <v>71</v>
      </c>
      <c r="E79" t="s">
        <v>6</v>
      </c>
      <c r="F79" t="s">
        <v>75</v>
      </c>
      <c r="G79" s="53">
        <v>39870</v>
      </c>
      <c r="H79">
        <v>5400</v>
      </c>
      <c r="I79">
        <v>946</v>
      </c>
      <c r="J79">
        <v>137</v>
      </c>
      <c r="K79">
        <v>293.7</v>
      </c>
      <c r="L79">
        <v>2846</v>
      </c>
      <c r="M79">
        <v>880</v>
      </c>
      <c r="N79">
        <v>9500</v>
      </c>
      <c r="O79">
        <v>6500</v>
      </c>
      <c r="P79">
        <v>6800</v>
      </c>
      <c r="Q79" s="52">
        <f t="shared" si="7"/>
        <v>1794.9402670414618</v>
      </c>
      <c r="R79" s="52">
        <f t="shared" si="8"/>
        <v>3605.059732958538</v>
      </c>
      <c r="S79" s="52">
        <f t="shared" si="9"/>
        <v>3605.0597329585385</v>
      </c>
      <c r="T79">
        <v>-1239.4</v>
      </c>
      <c r="U79">
        <v>352.6</v>
      </c>
      <c r="V79" s="54">
        <v>1583</v>
      </c>
      <c r="W79" s="54">
        <v>965</v>
      </c>
      <c r="X79" t="s">
        <v>401</v>
      </c>
      <c r="Y79" t="s">
        <v>401</v>
      </c>
      <c r="Z79" t="s">
        <v>401</v>
      </c>
      <c r="AA79" t="s">
        <v>401</v>
      </c>
      <c r="AB79" t="s">
        <v>401</v>
      </c>
      <c r="AC79" t="s">
        <v>401</v>
      </c>
      <c r="AD79" t="s">
        <v>401</v>
      </c>
      <c r="AE79" t="s">
        <v>401</v>
      </c>
      <c r="AF79">
        <f t="shared" si="11"/>
        <v>3656</v>
      </c>
      <c r="AG79">
        <f>VLOOKUP('Ballast Calculator'!$D$67,'Drop down Options'!$CS$289:$CV$293,4,FALSE)*Platforms!T79/Platforms!L79</f>
        <v>-270.0028109627547</v>
      </c>
      <c r="AH79">
        <f>VLOOKUP('Ballast Calculator'!$D$67,'Drop down Options'!$CS$289:$CV$293,4,FALSE)+(VLOOKUP('Ballast Calculator'!$D$67,'Drop down Options'!$CS$289:$CV$293,4,FALSE)*T79)/L79</f>
        <v>349.9971890372453</v>
      </c>
      <c r="AI79">
        <f>VLOOKUP('Ballast Calculator'!$D$67,'Drop down Options'!$CS$289:$CV$293,4,FALSE)*(Platforms!L79+Platforms!T79)/Platforms!L79</f>
        <v>349.9971890372453</v>
      </c>
      <c r="AJ79">
        <v>-942.7</v>
      </c>
      <c r="AK79">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79">
        <f>IF(VLOOKUP('Ballast Calculator'!$D$50,'Drop down Options'!$AN$202:$AQ$210,4,FALSE)="",0,Platforms!AK79)</f>
        <v>2494.5318654318653</v>
      </c>
      <c r="AM79">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79">
        <f>IF(VLOOKUP('Ballast Calculator'!$D$50,'Drop down Options'!$AN$202:$AQ$210,4,FALSE)="",0,Platforms!AM79)</f>
        <v>-1106.2318654318653</v>
      </c>
      <c r="AO79">
        <f>VLOOKUP('Ballast Calculator'!$D$54,'Drop down Options'!$CN$277:$CR$280,5,FALSE)*Platforms!AJ79/Platforms!L79</f>
        <v>0</v>
      </c>
      <c r="AP79" s="167">
        <f>VLOOKUP('Ballast Calculator'!$D$54,'Drop down Options'!$CN$277:$CR$280,5,FALSE)+VLOOKUP('Ballast Calculator'!$D$54,'Drop down Options'!$CN$277:$CR$280,5,FALSE)*Platforms!AJ79/Platforms!L79</f>
        <v>0</v>
      </c>
      <c r="AQ79" s="167">
        <f>VLOOKUP('Ballast Calculator'!$D$54,'Drop down Options'!$CN$277:$CR$280,5,FALSE)*(Platforms!AJ79+Platforms!L79)/Platforms!L79</f>
        <v>0</v>
      </c>
      <c r="AR79">
        <f>VLOOKUP('Ballast Calculator'!$D$61,'Drop down Options'!$BW$215:$BZ$248,4,FALSE)*(Platforms!L79+Platforms!AF79)/Platforms!L79</f>
        <v>0</v>
      </c>
      <c r="AS79" s="167">
        <f>-AR79+VLOOKUP('Ballast Calculator'!$D$61,'Drop down Options'!$BW$215:$BZ$248,4,FALSE)</f>
        <v>0</v>
      </c>
      <c r="AT79" s="167">
        <f>-VLOOKUP('Ballast Calculator'!$D$61,'Drop down Options'!$BW$215:$BZ$248,4,FALSE)*Platforms!AF79/Platforms!L79</f>
        <v>0</v>
      </c>
      <c r="AU79">
        <v>0</v>
      </c>
      <c r="AV79">
        <f>VLOOKUP('Ballast Calculator'!$D$64,'Drop down Options'!$CF$253:$CI$272,4,FALSE)</f>
        <v>77</v>
      </c>
      <c r="AW79">
        <f>VLOOKUP('Ballast Calculator'!$D$67,'Drop down Options'!$CS$289:$CV$293,4,FALSE)*Platforms!AZ79/Platforms!L79</f>
        <v>-269.93745607870693</v>
      </c>
      <c r="AX79">
        <f>AW79+VLOOKUP('Ballast Calculator'!$D$67,'Drop down Options'!$CS$289:$CV$293,4,FALSE)</f>
        <v>350.06254392129307</v>
      </c>
      <c r="AY79">
        <f>VLOOKUP('Ballast Calculator'!$D$67,'Drop down Options'!$CS$289:$CV$293,4,FALSE)*(Platforms!AZ79+Platforms!L79)/Platforms!L79</f>
        <v>350.06254392129307</v>
      </c>
      <c r="AZ79">
        <f t="shared" si="10"/>
        <v>-1239.1</v>
      </c>
    </row>
    <row r="80" spans="1:52" ht="12.75">
      <c r="A80" s="52" t="str">
        <f t="shared" si="6"/>
        <v>7130CABMFWDS+</v>
      </c>
      <c r="B80">
        <v>78</v>
      </c>
      <c r="C80" t="s">
        <v>77</v>
      </c>
      <c r="D80" t="s">
        <v>60</v>
      </c>
      <c r="E80" t="s">
        <v>64</v>
      </c>
      <c r="F80" t="s">
        <v>68</v>
      </c>
      <c r="G80" s="53">
        <v>39870</v>
      </c>
      <c r="H80">
        <v>4800</v>
      </c>
      <c r="I80">
        <v>1129</v>
      </c>
      <c r="J80">
        <v>137</v>
      </c>
      <c r="K80">
        <v>400</v>
      </c>
      <c r="L80">
        <v>2645.5</v>
      </c>
      <c r="M80">
        <v>880</v>
      </c>
      <c r="N80">
        <v>9500</v>
      </c>
      <c r="O80">
        <v>6580</v>
      </c>
      <c r="P80">
        <v>6800</v>
      </c>
      <c r="Q80" s="52">
        <f t="shared" si="7"/>
        <v>2048.4596484596486</v>
      </c>
      <c r="R80" s="52">
        <f t="shared" si="8"/>
        <v>2751.5403515403514</v>
      </c>
      <c r="S80" s="52">
        <f t="shared" si="9"/>
        <v>2751.5403515403514</v>
      </c>
      <c r="T80">
        <v>-1239.4</v>
      </c>
      <c r="U80">
        <v>352.6</v>
      </c>
      <c r="V80" s="54">
        <v>1583</v>
      </c>
      <c r="W80" s="54">
        <v>965</v>
      </c>
      <c r="Z80" t="s">
        <v>401</v>
      </c>
      <c r="AA80" t="s">
        <v>401</v>
      </c>
      <c r="AB80" t="s">
        <v>401</v>
      </c>
      <c r="AC80" t="s">
        <v>401</v>
      </c>
      <c r="AD80" t="s">
        <v>401</v>
      </c>
      <c r="AE80" t="s">
        <v>401</v>
      </c>
      <c r="AF80">
        <f t="shared" si="11"/>
        <v>3656</v>
      </c>
      <c r="AG80">
        <f>VLOOKUP('Ballast Calculator'!$D$67,'Drop down Options'!$CS$289:$CV$293,4,FALSE)*Platforms!T80/Platforms!L80</f>
        <v>-290.4660744660745</v>
      </c>
      <c r="AH80">
        <f>VLOOKUP('Ballast Calculator'!$D$67,'Drop down Options'!$CS$289:$CV$293,4,FALSE)+(VLOOKUP('Ballast Calculator'!$D$67,'Drop down Options'!$CS$289:$CV$293,4,FALSE)*T80)/L80</f>
        <v>329.5339255339255</v>
      </c>
      <c r="AI80">
        <f>VLOOKUP('Ballast Calculator'!$D$67,'Drop down Options'!$CS$289:$CV$293,4,FALSE)*(Platforms!L80+Platforms!T80)/Platforms!L80</f>
        <v>329.5339255339255</v>
      </c>
      <c r="AJ80">
        <v>-942.7</v>
      </c>
      <c r="AK80">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80">
        <f>IF(VLOOKUP('Ballast Calculator'!$D$50,'Drop down Options'!$AN$202:$AQ$210,4,FALSE)="",0,Platforms!AK80)</f>
        <v>2494.5318654318653</v>
      </c>
      <c r="AM80">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80">
        <f>IF(VLOOKUP('Ballast Calculator'!$D$50,'Drop down Options'!$AN$202:$AQ$210,4,FALSE)="",0,Platforms!AM80)</f>
        <v>-1106.2318654318653</v>
      </c>
      <c r="AO80">
        <f>VLOOKUP('Ballast Calculator'!$D$54,'Drop down Options'!$CN$277:$CR$280,5,FALSE)*Platforms!AJ80/Platforms!L80</f>
        <v>0</v>
      </c>
      <c r="AP80" s="167">
        <f>VLOOKUP('Ballast Calculator'!$D$54,'Drop down Options'!$CN$277:$CR$280,5,FALSE)+VLOOKUP('Ballast Calculator'!$D$54,'Drop down Options'!$CN$277:$CR$280,5,FALSE)*Platforms!AJ80/Platforms!L80</f>
        <v>0</v>
      </c>
      <c r="AQ80" s="167">
        <f>VLOOKUP('Ballast Calculator'!$D$54,'Drop down Options'!$CN$277:$CR$280,5,FALSE)*(Platforms!AJ80+Platforms!L80)/Platforms!L80</f>
        <v>0</v>
      </c>
      <c r="AR80">
        <f>VLOOKUP('Ballast Calculator'!$D$61,'Drop down Options'!$BW$215:$BZ$248,4,FALSE)*(Platforms!L80+Platforms!AF80)/Platforms!L80</f>
        <v>0</v>
      </c>
      <c r="AS80" s="167">
        <f>-AR80+VLOOKUP('Ballast Calculator'!$D$61,'Drop down Options'!$BW$215:$BZ$248,4,FALSE)</f>
        <v>0</v>
      </c>
      <c r="AT80" s="167">
        <f>-VLOOKUP('Ballast Calculator'!$D$61,'Drop down Options'!$BW$215:$BZ$248,4,FALSE)*Platforms!AF80/Platforms!L80</f>
        <v>0</v>
      </c>
      <c r="AU80">
        <v>0</v>
      </c>
      <c r="AV80">
        <f>VLOOKUP('Ballast Calculator'!$D$64,'Drop down Options'!$CF$253:$CI$272,4,FALSE)</f>
        <v>77</v>
      </c>
      <c r="AW80">
        <f>VLOOKUP('Ballast Calculator'!$D$67,'Drop down Options'!$CS$289:$CV$293,4,FALSE)*Platforms!AZ80/Platforms!L80</f>
        <v>-290.3957663957664</v>
      </c>
      <c r="AX80">
        <f>AW80+VLOOKUP('Ballast Calculator'!$D$67,'Drop down Options'!$CS$289:$CV$293,4,FALSE)</f>
        <v>329.6042336042336</v>
      </c>
      <c r="AY80">
        <f>VLOOKUP('Ballast Calculator'!$D$67,'Drop down Options'!$CS$289:$CV$293,4,FALSE)*(Platforms!AZ80+Platforms!L80)/Platforms!L80</f>
        <v>329.6042336042336</v>
      </c>
      <c r="AZ80">
        <f t="shared" si="10"/>
        <v>-1239.1</v>
      </c>
    </row>
    <row r="81" spans="1:52" ht="12.75">
      <c r="A81" s="52" t="str">
        <f t="shared" si="6"/>
        <v>7130CABMFWDPQ+</v>
      </c>
      <c r="B81">
        <v>79</v>
      </c>
      <c r="C81" t="s">
        <v>77</v>
      </c>
      <c r="D81" t="s">
        <v>60</v>
      </c>
      <c r="E81" t="s">
        <v>64</v>
      </c>
      <c r="F81" t="s">
        <v>69</v>
      </c>
      <c r="G81" s="53">
        <v>39870</v>
      </c>
      <c r="H81">
        <v>4800</v>
      </c>
      <c r="I81">
        <v>1129</v>
      </c>
      <c r="J81">
        <v>137</v>
      </c>
      <c r="K81">
        <v>400</v>
      </c>
      <c r="L81">
        <v>2645.5</v>
      </c>
      <c r="M81">
        <v>880</v>
      </c>
      <c r="N81">
        <v>9500</v>
      </c>
      <c r="O81">
        <v>6580</v>
      </c>
      <c r="P81">
        <v>6800</v>
      </c>
      <c r="Q81" s="52">
        <f t="shared" si="7"/>
        <v>2048.4596484596486</v>
      </c>
      <c r="R81" s="52">
        <f t="shared" si="8"/>
        <v>2751.5403515403514</v>
      </c>
      <c r="S81" s="52">
        <f t="shared" si="9"/>
        <v>2751.5403515403514</v>
      </c>
      <c r="T81">
        <v>-1239.4</v>
      </c>
      <c r="U81">
        <v>352.6</v>
      </c>
      <c r="V81" s="54">
        <v>1583</v>
      </c>
      <c r="W81" s="54">
        <v>965</v>
      </c>
      <c r="Z81" t="s">
        <v>401</v>
      </c>
      <c r="AA81" t="s">
        <v>401</v>
      </c>
      <c r="AB81" t="s">
        <v>401</v>
      </c>
      <c r="AC81" t="s">
        <v>401</v>
      </c>
      <c r="AD81" t="s">
        <v>401</v>
      </c>
      <c r="AE81" t="s">
        <v>401</v>
      </c>
      <c r="AF81">
        <f t="shared" si="11"/>
        <v>3656</v>
      </c>
      <c r="AG81">
        <f>VLOOKUP('Ballast Calculator'!$D$67,'Drop down Options'!$CS$289:$CV$293,4,FALSE)*Platforms!T81/Platforms!L81</f>
        <v>-290.4660744660745</v>
      </c>
      <c r="AH81">
        <f>VLOOKUP('Ballast Calculator'!$D$67,'Drop down Options'!$CS$289:$CV$293,4,FALSE)+(VLOOKUP('Ballast Calculator'!$D$67,'Drop down Options'!$CS$289:$CV$293,4,FALSE)*T81)/L81</f>
        <v>329.5339255339255</v>
      </c>
      <c r="AI81">
        <f>VLOOKUP('Ballast Calculator'!$D$67,'Drop down Options'!$CS$289:$CV$293,4,FALSE)*(Platforms!L81+Platforms!T81)/Platforms!L81</f>
        <v>329.5339255339255</v>
      </c>
      <c r="AJ81">
        <v>-942.7</v>
      </c>
      <c r="AK81">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81">
        <f>IF(VLOOKUP('Ballast Calculator'!$D$50,'Drop down Options'!$AN$202:$AQ$210,4,FALSE)="",0,Platforms!AK81)</f>
        <v>2494.5318654318653</v>
      </c>
      <c r="AM81">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81">
        <f>IF(VLOOKUP('Ballast Calculator'!$D$50,'Drop down Options'!$AN$202:$AQ$210,4,FALSE)="",0,Platforms!AM81)</f>
        <v>-1106.2318654318653</v>
      </c>
      <c r="AO81">
        <f>VLOOKUP('Ballast Calculator'!$D$54,'Drop down Options'!$CN$277:$CR$280,5,FALSE)*Platforms!AJ81/Platforms!L81</f>
        <v>0</v>
      </c>
      <c r="AP81" s="167">
        <f>VLOOKUP('Ballast Calculator'!$D$54,'Drop down Options'!$CN$277:$CR$280,5,FALSE)+VLOOKUP('Ballast Calculator'!$D$54,'Drop down Options'!$CN$277:$CR$280,5,FALSE)*Platforms!AJ81/Platforms!L81</f>
        <v>0</v>
      </c>
      <c r="AQ81" s="167">
        <f>VLOOKUP('Ballast Calculator'!$D$54,'Drop down Options'!$CN$277:$CR$280,5,FALSE)*(Platforms!AJ81+Platforms!L81)/Platforms!L81</f>
        <v>0</v>
      </c>
      <c r="AR81">
        <f>VLOOKUP('Ballast Calculator'!$D$61,'Drop down Options'!$BW$215:$BZ$248,4,FALSE)*(Platforms!L81+Platforms!AF81)/Platforms!L81</f>
        <v>0</v>
      </c>
      <c r="AS81" s="167">
        <f>-AR81+VLOOKUP('Ballast Calculator'!$D$61,'Drop down Options'!$BW$215:$BZ$248,4,FALSE)</f>
        <v>0</v>
      </c>
      <c r="AT81" s="167">
        <f>-VLOOKUP('Ballast Calculator'!$D$61,'Drop down Options'!$BW$215:$BZ$248,4,FALSE)*Platforms!AF81/Platforms!L81</f>
        <v>0</v>
      </c>
      <c r="AU81">
        <v>0</v>
      </c>
      <c r="AV81">
        <f>VLOOKUP('Ballast Calculator'!$D$64,'Drop down Options'!$CF$253:$CI$272,4,FALSE)</f>
        <v>77</v>
      </c>
      <c r="AW81">
        <f>VLOOKUP('Ballast Calculator'!$D$67,'Drop down Options'!$CS$289:$CV$293,4,FALSE)*Platforms!AZ81/Platforms!L81</f>
        <v>-290.3957663957664</v>
      </c>
      <c r="AX81">
        <f>AW81+VLOOKUP('Ballast Calculator'!$D$67,'Drop down Options'!$CS$289:$CV$293,4,FALSE)</f>
        <v>329.6042336042336</v>
      </c>
      <c r="AY81">
        <f>VLOOKUP('Ballast Calculator'!$D$67,'Drop down Options'!$CS$289:$CV$293,4,FALSE)*(Platforms!AZ81+Platforms!L81)/Platforms!L81</f>
        <v>329.6042336042336</v>
      </c>
      <c r="AZ81">
        <f t="shared" si="10"/>
        <v>-1239.1</v>
      </c>
    </row>
    <row r="82" spans="1:52" ht="12.75">
      <c r="A82" s="52" t="str">
        <f t="shared" si="6"/>
        <v>7130OOSMFWDS+</v>
      </c>
      <c r="B82">
        <v>80</v>
      </c>
      <c r="C82" t="s">
        <v>77</v>
      </c>
      <c r="D82" t="s">
        <v>63</v>
      </c>
      <c r="E82" t="s">
        <v>64</v>
      </c>
      <c r="F82" s="54" t="s">
        <v>68</v>
      </c>
      <c r="G82" s="53">
        <v>39870</v>
      </c>
      <c r="H82">
        <v>4400</v>
      </c>
      <c r="I82">
        <v>1129</v>
      </c>
      <c r="J82">
        <v>137</v>
      </c>
      <c r="K82">
        <v>400</v>
      </c>
      <c r="L82">
        <v>2645.5</v>
      </c>
      <c r="M82">
        <v>880</v>
      </c>
      <c r="N82">
        <v>9500</v>
      </c>
      <c r="O82">
        <v>6580</v>
      </c>
      <c r="P82">
        <v>6800</v>
      </c>
      <c r="Q82" s="52">
        <f t="shared" si="7"/>
        <v>1877.7546777546777</v>
      </c>
      <c r="R82" s="52">
        <f t="shared" si="8"/>
        <v>2522.2453222453223</v>
      </c>
      <c r="S82" s="52">
        <f t="shared" si="9"/>
        <v>2522.2453222453223</v>
      </c>
      <c r="T82">
        <v>-1239.4</v>
      </c>
      <c r="U82">
        <v>352.6</v>
      </c>
      <c r="V82" s="54">
        <v>1583</v>
      </c>
      <c r="W82" s="54">
        <v>965</v>
      </c>
      <c r="Z82" t="s">
        <v>401</v>
      </c>
      <c r="AA82" t="s">
        <v>401</v>
      </c>
      <c r="AB82" t="s">
        <v>401</v>
      </c>
      <c r="AC82" t="s">
        <v>401</v>
      </c>
      <c r="AD82" t="s">
        <v>401</v>
      </c>
      <c r="AE82" t="s">
        <v>401</v>
      </c>
      <c r="AF82">
        <f t="shared" si="11"/>
        <v>3656</v>
      </c>
      <c r="AG82">
        <f>VLOOKUP('Ballast Calculator'!$D$67,'Drop down Options'!$CS$289:$CV$293,4,FALSE)*Platforms!T82/Platforms!L82</f>
        <v>-290.4660744660745</v>
      </c>
      <c r="AH82">
        <f>VLOOKUP('Ballast Calculator'!$D$67,'Drop down Options'!$CS$289:$CV$293,4,FALSE)+(VLOOKUP('Ballast Calculator'!$D$67,'Drop down Options'!$CS$289:$CV$293,4,FALSE)*T82)/L82</f>
        <v>329.5339255339255</v>
      </c>
      <c r="AI82">
        <f>VLOOKUP('Ballast Calculator'!$D$67,'Drop down Options'!$CS$289:$CV$293,4,FALSE)*(Platforms!L82+Platforms!T82)/Platforms!L82</f>
        <v>329.5339255339255</v>
      </c>
      <c r="AJ82">
        <v>-942.7</v>
      </c>
      <c r="AK82">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82">
        <f>IF(VLOOKUP('Ballast Calculator'!$D$50,'Drop down Options'!$AN$202:$AQ$210,4,FALSE)="",0,Platforms!AK82)</f>
        <v>2494.5318654318653</v>
      </c>
      <c r="AM82">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82">
        <f>IF(VLOOKUP('Ballast Calculator'!$D$50,'Drop down Options'!$AN$202:$AQ$210,4,FALSE)="",0,Platforms!AM82)</f>
        <v>-1106.2318654318653</v>
      </c>
      <c r="AO82">
        <f>VLOOKUP('Ballast Calculator'!$D$54,'Drop down Options'!$CN$277:$CR$280,5,FALSE)*Platforms!AJ82/Platforms!L82</f>
        <v>0</v>
      </c>
      <c r="AP82" s="167">
        <f>VLOOKUP('Ballast Calculator'!$D$54,'Drop down Options'!$CN$277:$CR$280,5,FALSE)+VLOOKUP('Ballast Calculator'!$D$54,'Drop down Options'!$CN$277:$CR$280,5,FALSE)*Platforms!AJ82/Platforms!L82</f>
        <v>0</v>
      </c>
      <c r="AQ82" s="167">
        <f>VLOOKUP('Ballast Calculator'!$D$54,'Drop down Options'!$CN$277:$CR$280,5,FALSE)*(Platforms!AJ82+Platforms!L82)/Platforms!L82</f>
        <v>0</v>
      </c>
      <c r="AR82">
        <f>VLOOKUP('Ballast Calculator'!$D$61,'Drop down Options'!$BW$215:$BZ$248,4,FALSE)*(Platforms!L82+Platforms!AF82)/Platforms!L82</f>
        <v>0</v>
      </c>
      <c r="AS82" s="167">
        <f>-AR82+VLOOKUP('Ballast Calculator'!$D$61,'Drop down Options'!$BW$215:$BZ$248,4,FALSE)</f>
        <v>0</v>
      </c>
      <c r="AT82" s="167">
        <f>-VLOOKUP('Ballast Calculator'!$D$61,'Drop down Options'!$BW$215:$BZ$248,4,FALSE)*Platforms!AF82/Platforms!L82</f>
        <v>0</v>
      </c>
      <c r="AU82">
        <v>0</v>
      </c>
      <c r="AV82">
        <f>VLOOKUP('Ballast Calculator'!$D$64,'Drop down Options'!$CF$253:$CI$272,4,FALSE)</f>
        <v>77</v>
      </c>
      <c r="AW82">
        <f>VLOOKUP('Ballast Calculator'!$D$67,'Drop down Options'!$CS$289:$CV$293,4,FALSE)*Platforms!AZ82/Platforms!L82</f>
        <v>-290.3957663957664</v>
      </c>
      <c r="AX82">
        <f>AW82+VLOOKUP('Ballast Calculator'!$D$67,'Drop down Options'!$CS$289:$CV$293,4,FALSE)</f>
        <v>329.6042336042336</v>
      </c>
      <c r="AY82">
        <f>VLOOKUP('Ballast Calculator'!$D$67,'Drop down Options'!$CS$289:$CV$293,4,FALSE)*(Platforms!AZ82+Platforms!L82)/Platforms!L82</f>
        <v>329.6042336042336</v>
      </c>
      <c r="AZ82">
        <f t="shared" si="10"/>
        <v>-1239.1</v>
      </c>
    </row>
    <row r="83" spans="1:52" ht="12.75">
      <c r="A83" s="52" t="str">
        <f t="shared" si="6"/>
        <v>7130OOSMFWDPQ</v>
      </c>
      <c r="B83">
        <v>81</v>
      </c>
      <c r="C83" t="s">
        <v>77</v>
      </c>
      <c r="D83" t="s">
        <v>63</v>
      </c>
      <c r="E83" t="s">
        <v>64</v>
      </c>
      <c r="F83" s="54" t="s">
        <v>70</v>
      </c>
      <c r="G83" s="53">
        <v>39870</v>
      </c>
      <c r="H83">
        <v>4400</v>
      </c>
      <c r="I83">
        <v>1129</v>
      </c>
      <c r="J83">
        <v>137</v>
      </c>
      <c r="K83">
        <v>400</v>
      </c>
      <c r="L83">
        <v>2645.5</v>
      </c>
      <c r="M83">
        <v>880</v>
      </c>
      <c r="N83">
        <v>9500</v>
      </c>
      <c r="O83">
        <v>6580</v>
      </c>
      <c r="P83">
        <v>6800</v>
      </c>
      <c r="Q83" s="52">
        <f t="shared" si="7"/>
        <v>1877.7546777546777</v>
      </c>
      <c r="R83" s="52">
        <f t="shared" si="8"/>
        <v>2522.2453222453223</v>
      </c>
      <c r="S83" s="52">
        <f t="shared" si="9"/>
        <v>2522.2453222453223</v>
      </c>
      <c r="T83">
        <v>-1239.4</v>
      </c>
      <c r="U83">
        <v>352.6</v>
      </c>
      <c r="V83" s="54">
        <v>1583</v>
      </c>
      <c r="W83" s="54">
        <v>965</v>
      </c>
      <c r="Z83" t="s">
        <v>401</v>
      </c>
      <c r="AA83" t="s">
        <v>401</v>
      </c>
      <c r="AB83" t="s">
        <v>401</v>
      </c>
      <c r="AC83" t="s">
        <v>401</v>
      </c>
      <c r="AD83" t="s">
        <v>401</v>
      </c>
      <c r="AE83" t="s">
        <v>401</v>
      </c>
      <c r="AF83">
        <f t="shared" si="11"/>
        <v>3656</v>
      </c>
      <c r="AG83">
        <f>VLOOKUP('Ballast Calculator'!$D$67,'Drop down Options'!$CS$289:$CV$293,4,FALSE)*Platforms!T83/Platforms!L83</f>
        <v>-290.4660744660745</v>
      </c>
      <c r="AH83">
        <f>VLOOKUP('Ballast Calculator'!$D$67,'Drop down Options'!$CS$289:$CV$293,4,FALSE)+(VLOOKUP('Ballast Calculator'!$D$67,'Drop down Options'!$CS$289:$CV$293,4,FALSE)*T83)/L83</f>
        <v>329.5339255339255</v>
      </c>
      <c r="AI83">
        <f>VLOOKUP('Ballast Calculator'!$D$67,'Drop down Options'!$CS$289:$CV$293,4,FALSE)*(Platforms!L83+Platforms!T83)/Platforms!L83</f>
        <v>329.5339255339255</v>
      </c>
      <c r="AJ83">
        <v>-942.7</v>
      </c>
      <c r="AK83">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83">
        <f>IF(VLOOKUP('Ballast Calculator'!$D$50,'Drop down Options'!$AN$202:$AQ$210,4,FALSE)="",0,Platforms!AK83)</f>
        <v>2494.5318654318653</v>
      </c>
      <c r="AM83">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83">
        <f>IF(VLOOKUP('Ballast Calculator'!$D$50,'Drop down Options'!$AN$202:$AQ$210,4,FALSE)="",0,Platforms!AM83)</f>
        <v>-1106.2318654318653</v>
      </c>
      <c r="AO83">
        <f>VLOOKUP('Ballast Calculator'!$D$54,'Drop down Options'!$CN$277:$CR$280,5,FALSE)*Platforms!AJ83/Platforms!L83</f>
        <v>0</v>
      </c>
      <c r="AP83" s="167">
        <f>VLOOKUP('Ballast Calculator'!$D$54,'Drop down Options'!$CN$277:$CR$280,5,FALSE)+VLOOKUP('Ballast Calculator'!$D$54,'Drop down Options'!$CN$277:$CR$280,5,FALSE)*Platforms!AJ83/Platforms!L83</f>
        <v>0</v>
      </c>
      <c r="AQ83" s="167">
        <f>VLOOKUP('Ballast Calculator'!$D$54,'Drop down Options'!$CN$277:$CR$280,5,FALSE)*(Platforms!AJ83+Platforms!L83)/Platforms!L83</f>
        <v>0</v>
      </c>
      <c r="AR83">
        <f>VLOOKUP('Ballast Calculator'!$D$61,'Drop down Options'!$BW$215:$BZ$248,4,FALSE)*(Platforms!L83+Platforms!AF83)/Platforms!L83</f>
        <v>0</v>
      </c>
      <c r="AS83" s="167">
        <f>-AR83+VLOOKUP('Ballast Calculator'!$D$61,'Drop down Options'!$BW$215:$BZ$248,4,FALSE)</f>
        <v>0</v>
      </c>
      <c r="AT83" s="167">
        <f>-VLOOKUP('Ballast Calculator'!$D$61,'Drop down Options'!$BW$215:$BZ$248,4,FALSE)*Platforms!AF83/Platforms!L83</f>
        <v>0</v>
      </c>
      <c r="AU83">
        <v>0</v>
      </c>
      <c r="AV83">
        <f>VLOOKUP('Ballast Calculator'!$D$64,'Drop down Options'!$CF$253:$CI$272,4,FALSE)</f>
        <v>77</v>
      </c>
      <c r="AW83">
        <f>VLOOKUP('Ballast Calculator'!$D$67,'Drop down Options'!$CS$289:$CV$293,4,FALSE)*Platforms!AZ83/Platforms!L83</f>
        <v>-290.3957663957664</v>
      </c>
      <c r="AX83">
        <f>AW83+VLOOKUP('Ballast Calculator'!$D$67,'Drop down Options'!$CS$289:$CV$293,4,FALSE)</f>
        <v>329.6042336042336</v>
      </c>
      <c r="AY83">
        <f>VLOOKUP('Ballast Calculator'!$D$67,'Drop down Options'!$CS$289:$CV$293,4,FALSE)*(Platforms!AZ83+Platforms!L83)/Platforms!L83</f>
        <v>329.6042336042336</v>
      </c>
      <c r="AZ83">
        <f t="shared" si="10"/>
        <v>-1239.1</v>
      </c>
    </row>
    <row r="84" spans="1:52" ht="12.75">
      <c r="A84" s="52" t="str">
        <f t="shared" si="6"/>
        <v>7130PremiumMFWDPQ+</v>
      </c>
      <c r="B84">
        <v>82</v>
      </c>
      <c r="C84" t="s">
        <v>77</v>
      </c>
      <c r="D84" t="s">
        <v>71</v>
      </c>
      <c r="E84" t="s">
        <v>64</v>
      </c>
      <c r="F84" t="s">
        <v>69</v>
      </c>
      <c r="G84" s="53">
        <v>39870</v>
      </c>
      <c r="H84">
        <v>5400</v>
      </c>
      <c r="I84">
        <v>1129</v>
      </c>
      <c r="J84">
        <v>137</v>
      </c>
      <c r="K84">
        <v>400</v>
      </c>
      <c r="L84">
        <v>2645.5</v>
      </c>
      <c r="M84">
        <v>880</v>
      </c>
      <c r="N84">
        <v>9500</v>
      </c>
      <c r="O84">
        <v>6580</v>
      </c>
      <c r="P84">
        <v>6800</v>
      </c>
      <c r="Q84" s="52">
        <f t="shared" si="7"/>
        <v>2304.5171045171046</v>
      </c>
      <c r="R84" s="52">
        <f t="shared" si="8"/>
        <v>3095.4828954828954</v>
      </c>
      <c r="S84" s="52">
        <f t="shared" si="9"/>
        <v>3095.4828954828954</v>
      </c>
      <c r="T84">
        <v>-1239.4</v>
      </c>
      <c r="U84">
        <v>352.6</v>
      </c>
      <c r="V84" s="54">
        <v>1583</v>
      </c>
      <c r="W84" s="54">
        <v>965</v>
      </c>
      <c r="Z84" t="s">
        <v>401</v>
      </c>
      <c r="AA84" t="s">
        <v>401</v>
      </c>
      <c r="AB84" t="s">
        <v>401</v>
      </c>
      <c r="AC84" t="s">
        <v>401</v>
      </c>
      <c r="AD84" t="s">
        <v>401</v>
      </c>
      <c r="AE84" t="s">
        <v>401</v>
      </c>
      <c r="AF84">
        <f t="shared" si="11"/>
        <v>3656</v>
      </c>
      <c r="AG84">
        <f>VLOOKUP('Ballast Calculator'!$D$67,'Drop down Options'!$CS$289:$CV$293,4,FALSE)*Platforms!T84/Platforms!L84</f>
        <v>-290.4660744660745</v>
      </c>
      <c r="AH84">
        <f>VLOOKUP('Ballast Calculator'!$D$67,'Drop down Options'!$CS$289:$CV$293,4,FALSE)+(VLOOKUP('Ballast Calculator'!$D$67,'Drop down Options'!$CS$289:$CV$293,4,FALSE)*T84)/L84</f>
        <v>329.5339255339255</v>
      </c>
      <c r="AI84">
        <f>VLOOKUP('Ballast Calculator'!$D$67,'Drop down Options'!$CS$289:$CV$293,4,FALSE)*(Platforms!L84+Platforms!T84)/Platforms!L84</f>
        <v>329.5339255339255</v>
      </c>
      <c r="AJ84">
        <v>-942.7</v>
      </c>
      <c r="AK84">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84">
        <f>IF(VLOOKUP('Ballast Calculator'!$D$50,'Drop down Options'!$AN$202:$AQ$210,4,FALSE)="",0,Platforms!AK84)</f>
        <v>2494.5318654318653</v>
      </c>
      <c r="AM84">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84">
        <f>IF(VLOOKUP('Ballast Calculator'!$D$50,'Drop down Options'!$AN$202:$AQ$210,4,FALSE)="",0,Platforms!AM84)</f>
        <v>-1106.2318654318653</v>
      </c>
      <c r="AO84">
        <f>VLOOKUP('Ballast Calculator'!$D$54,'Drop down Options'!$CN$277:$CR$280,5,FALSE)*Platforms!AJ84/Platforms!L84</f>
        <v>0</v>
      </c>
      <c r="AP84" s="167">
        <f>VLOOKUP('Ballast Calculator'!$D$54,'Drop down Options'!$CN$277:$CR$280,5,FALSE)+VLOOKUP('Ballast Calculator'!$D$54,'Drop down Options'!$CN$277:$CR$280,5,FALSE)*Platforms!AJ84/Platforms!L84</f>
        <v>0</v>
      </c>
      <c r="AQ84" s="167">
        <f>VLOOKUP('Ballast Calculator'!$D$54,'Drop down Options'!$CN$277:$CR$280,5,FALSE)*(Platforms!AJ84+Platforms!L84)/Platforms!L84</f>
        <v>0</v>
      </c>
      <c r="AR84">
        <f>VLOOKUP('Ballast Calculator'!$D$61,'Drop down Options'!$BW$215:$BZ$248,4,FALSE)*(Platforms!L84+Platforms!AF84)/Platforms!L84</f>
        <v>0</v>
      </c>
      <c r="AS84" s="167">
        <f>-AR84+VLOOKUP('Ballast Calculator'!$D$61,'Drop down Options'!$BW$215:$BZ$248,4,FALSE)</f>
        <v>0</v>
      </c>
      <c r="AT84" s="167">
        <f>-VLOOKUP('Ballast Calculator'!$D$61,'Drop down Options'!$BW$215:$BZ$248,4,FALSE)*Platforms!AF84/Platforms!L84</f>
        <v>0</v>
      </c>
      <c r="AU84">
        <v>0</v>
      </c>
      <c r="AV84">
        <f>VLOOKUP('Ballast Calculator'!$D$64,'Drop down Options'!$CF$253:$CI$272,4,FALSE)</f>
        <v>77</v>
      </c>
      <c r="AW84">
        <f>VLOOKUP('Ballast Calculator'!$D$67,'Drop down Options'!$CS$289:$CV$293,4,FALSE)*Platforms!AZ84/Platforms!L84</f>
        <v>-290.3957663957664</v>
      </c>
      <c r="AX84">
        <f>AW84+VLOOKUP('Ballast Calculator'!$D$67,'Drop down Options'!$CS$289:$CV$293,4,FALSE)</f>
        <v>329.6042336042336</v>
      </c>
      <c r="AY84">
        <f>VLOOKUP('Ballast Calculator'!$D$67,'Drop down Options'!$CS$289:$CV$293,4,FALSE)*(Platforms!AZ84+Platforms!L84)/Platforms!L84</f>
        <v>329.6042336042336</v>
      </c>
      <c r="AZ84">
        <f t="shared" si="10"/>
        <v>-1239.1</v>
      </c>
    </row>
    <row r="85" spans="1:52" ht="12.75">
      <c r="A85" s="52" t="str">
        <f t="shared" si="6"/>
        <v>7130PremiumMFWDAQ+</v>
      </c>
      <c r="B85">
        <v>83</v>
      </c>
      <c r="C85" t="s">
        <v>77</v>
      </c>
      <c r="D85" t="s">
        <v>71</v>
      </c>
      <c r="E85" t="s">
        <v>64</v>
      </c>
      <c r="F85" t="s">
        <v>72</v>
      </c>
      <c r="G85" s="53">
        <v>39870</v>
      </c>
      <c r="H85">
        <v>5400</v>
      </c>
      <c r="I85">
        <v>1129</v>
      </c>
      <c r="J85">
        <v>137</v>
      </c>
      <c r="K85">
        <v>400</v>
      </c>
      <c r="L85">
        <v>2645.5</v>
      </c>
      <c r="M85">
        <v>880</v>
      </c>
      <c r="N85">
        <v>9500</v>
      </c>
      <c r="O85">
        <v>6580</v>
      </c>
      <c r="P85">
        <v>6800</v>
      </c>
      <c r="Q85" s="52">
        <f t="shared" si="7"/>
        <v>2304.5171045171046</v>
      </c>
      <c r="R85" s="52">
        <f t="shared" si="8"/>
        <v>3095.4828954828954</v>
      </c>
      <c r="S85" s="52">
        <f t="shared" si="9"/>
        <v>3095.4828954828954</v>
      </c>
      <c r="T85">
        <v>-1239.4</v>
      </c>
      <c r="U85">
        <v>352.6</v>
      </c>
      <c r="V85" s="54">
        <v>1583</v>
      </c>
      <c r="W85" s="54">
        <v>965</v>
      </c>
      <c r="Z85" t="s">
        <v>401</v>
      </c>
      <c r="AA85" t="s">
        <v>401</v>
      </c>
      <c r="AB85" t="s">
        <v>401</v>
      </c>
      <c r="AC85" t="s">
        <v>401</v>
      </c>
      <c r="AD85" t="s">
        <v>401</v>
      </c>
      <c r="AE85" t="s">
        <v>401</v>
      </c>
      <c r="AF85">
        <f t="shared" si="11"/>
        <v>3656</v>
      </c>
      <c r="AG85">
        <f>VLOOKUP('Ballast Calculator'!$D$67,'Drop down Options'!$CS$289:$CV$293,4,FALSE)*Platforms!T85/Platforms!L85</f>
        <v>-290.4660744660745</v>
      </c>
      <c r="AH85">
        <f>VLOOKUP('Ballast Calculator'!$D$67,'Drop down Options'!$CS$289:$CV$293,4,FALSE)+(VLOOKUP('Ballast Calculator'!$D$67,'Drop down Options'!$CS$289:$CV$293,4,FALSE)*T85)/L85</f>
        <v>329.5339255339255</v>
      </c>
      <c r="AI85">
        <f>VLOOKUP('Ballast Calculator'!$D$67,'Drop down Options'!$CS$289:$CV$293,4,FALSE)*(Platforms!L85+Platforms!T85)/Platforms!L85</f>
        <v>329.5339255339255</v>
      </c>
      <c r="AJ85">
        <v>-942.7</v>
      </c>
      <c r="AK85">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85">
        <f>IF(VLOOKUP('Ballast Calculator'!$D$50,'Drop down Options'!$AN$202:$AQ$210,4,FALSE)="",0,Platforms!AK85)</f>
        <v>2494.5318654318653</v>
      </c>
      <c r="AM85">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85">
        <f>IF(VLOOKUP('Ballast Calculator'!$D$50,'Drop down Options'!$AN$202:$AQ$210,4,FALSE)="",0,Platforms!AM85)</f>
        <v>-1106.2318654318653</v>
      </c>
      <c r="AO85">
        <f>VLOOKUP('Ballast Calculator'!$D$54,'Drop down Options'!$CN$277:$CR$280,5,FALSE)*Platforms!AJ85/Platforms!L85</f>
        <v>0</v>
      </c>
      <c r="AP85" s="167">
        <f>VLOOKUP('Ballast Calculator'!$D$54,'Drop down Options'!$CN$277:$CR$280,5,FALSE)+VLOOKUP('Ballast Calculator'!$D$54,'Drop down Options'!$CN$277:$CR$280,5,FALSE)*Platforms!AJ85/Platforms!L85</f>
        <v>0</v>
      </c>
      <c r="AQ85" s="167">
        <f>VLOOKUP('Ballast Calculator'!$D$54,'Drop down Options'!$CN$277:$CR$280,5,FALSE)*(Platforms!AJ85+Platforms!L85)/Platforms!L85</f>
        <v>0</v>
      </c>
      <c r="AR85">
        <f>VLOOKUP('Ballast Calculator'!$D$61,'Drop down Options'!$BW$215:$BZ$248,4,FALSE)*(Platforms!L85+Platforms!AF85)/Platforms!L85</f>
        <v>0</v>
      </c>
      <c r="AS85" s="167">
        <f>-AR85+VLOOKUP('Ballast Calculator'!$D$61,'Drop down Options'!$BW$215:$BZ$248,4,FALSE)</f>
        <v>0</v>
      </c>
      <c r="AT85" s="167">
        <f>-VLOOKUP('Ballast Calculator'!$D$61,'Drop down Options'!$BW$215:$BZ$248,4,FALSE)*Platforms!AF85/Platforms!L85</f>
        <v>0</v>
      </c>
      <c r="AU85">
        <v>0</v>
      </c>
      <c r="AV85">
        <f>VLOOKUP('Ballast Calculator'!$D$64,'Drop down Options'!$CF$253:$CI$272,4,FALSE)</f>
        <v>77</v>
      </c>
      <c r="AW85">
        <f>VLOOKUP('Ballast Calculator'!$D$67,'Drop down Options'!$CS$289:$CV$293,4,FALSE)*Platforms!AZ85/Platforms!L85</f>
        <v>-290.3957663957664</v>
      </c>
      <c r="AX85">
        <f>AW85+VLOOKUP('Ballast Calculator'!$D$67,'Drop down Options'!$CS$289:$CV$293,4,FALSE)</f>
        <v>329.6042336042336</v>
      </c>
      <c r="AY85">
        <f>VLOOKUP('Ballast Calculator'!$D$67,'Drop down Options'!$CS$289:$CV$293,4,FALSE)*(Platforms!AZ85+Platforms!L85)/Platforms!L85</f>
        <v>329.6042336042336</v>
      </c>
      <c r="AZ85">
        <f t="shared" si="10"/>
        <v>-1239.1</v>
      </c>
    </row>
    <row r="86" spans="1:52" ht="12.75">
      <c r="A86" s="52" t="str">
        <f t="shared" si="6"/>
        <v>7130PremiumMFWDIVT</v>
      </c>
      <c r="B86">
        <v>84</v>
      </c>
      <c r="C86" t="s">
        <v>77</v>
      </c>
      <c r="D86" t="s">
        <v>71</v>
      </c>
      <c r="E86" t="s">
        <v>64</v>
      </c>
      <c r="F86" t="s">
        <v>75</v>
      </c>
      <c r="G86" s="53">
        <v>39870</v>
      </c>
      <c r="H86">
        <v>5400</v>
      </c>
      <c r="I86">
        <v>1129</v>
      </c>
      <c r="J86">
        <v>137</v>
      </c>
      <c r="K86">
        <v>400</v>
      </c>
      <c r="L86">
        <v>2645.5</v>
      </c>
      <c r="M86">
        <v>880</v>
      </c>
      <c r="N86">
        <v>9500</v>
      </c>
      <c r="O86">
        <v>6580</v>
      </c>
      <c r="P86">
        <v>6800</v>
      </c>
      <c r="Q86" s="52">
        <f t="shared" si="7"/>
        <v>2304.5171045171046</v>
      </c>
      <c r="R86" s="52">
        <f t="shared" si="8"/>
        <v>3095.4828954828954</v>
      </c>
      <c r="S86" s="52">
        <f t="shared" si="9"/>
        <v>3095.4828954828954</v>
      </c>
      <c r="T86">
        <v>-1239.4</v>
      </c>
      <c r="U86">
        <v>352.6</v>
      </c>
      <c r="V86" s="54">
        <v>1583</v>
      </c>
      <c r="W86" s="54">
        <v>965</v>
      </c>
      <c r="Z86" t="s">
        <v>401</v>
      </c>
      <c r="AA86" t="s">
        <v>401</v>
      </c>
      <c r="AB86" t="s">
        <v>401</v>
      </c>
      <c r="AC86" t="s">
        <v>401</v>
      </c>
      <c r="AD86" t="s">
        <v>401</v>
      </c>
      <c r="AE86" t="s">
        <v>401</v>
      </c>
      <c r="AF86">
        <f t="shared" si="11"/>
        <v>3656</v>
      </c>
      <c r="AG86">
        <f>VLOOKUP('Ballast Calculator'!$D$67,'Drop down Options'!$CS$289:$CV$293,4,FALSE)*Platforms!T86/Platforms!L86</f>
        <v>-290.4660744660745</v>
      </c>
      <c r="AH86">
        <f>VLOOKUP('Ballast Calculator'!$D$67,'Drop down Options'!$CS$289:$CV$293,4,FALSE)+(VLOOKUP('Ballast Calculator'!$D$67,'Drop down Options'!$CS$289:$CV$293,4,FALSE)*T86)/L86</f>
        <v>329.5339255339255</v>
      </c>
      <c r="AI86">
        <f>VLOOKUP('Ballast Calculator'!$D$67,'Drop down Options'!$CS$289:$CV$293,4,FALSE)*(Platforms!L86+Platforms!T86)/Platforms!L86</f>
        <v>329.5339255339255</v>
      </c>
      <c r="AJ86">
        <v>-942.7</v>
      </c>
      <c r="AK86">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86">
        <f>IF(VLOOKUP('Ballast Calculator'!$D$50,'Drop down Options'!$AN$202:$AQ$210,4,FALSE)="",0,Platforms!AK86)</f>
        <v>2494.5318654318653</v>
      </c>
      <c r="AM86">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86">
        <f>IF(VLOOKUP('Ballast Calculator'!$D$50,'Drop down Options'!$AN$202:$AQ$210,4,FALSE)="",0,Platforms!AM86)</f>
        <v>-1106.2318654318653</v>
      </c>
      <c r="AO86">
        <f>VLOOKUP('Ballast Calculator'!$D$54,'Drop down Options'!$CN$277:$CR$280,5,FALSE)*Platforms!AJ86/Platforms!L86</f>
        <v>0</v>
      </c>
      <c r="AP86" s="167">
        <f>VLOOKUP('Ballast Calculator'!$D$54,'Drop down Options'!$CN$277:$CR$280,5,FALSE)+VLOOKUP('Ballast Calculator'!$D$54,'Drop down Options'!$CN$277:$CR$280,5,FALSE)*Platforms!AJ86/Platforms!L86</f>
        <v>0</v>
      </c>
      <c r="AQ86" s="167">
        <f>VLOOKUP('Ballast Calculator'!$D$54,'Drop down Options'!$CN$277:$CR$280,5,FALSE)*(Platforms!AJ86+Platforms!L86)/Platforms!L86</f>
        <v>0</v>
      </c>
      <c r="AR86">
        <f>VLOOKUP('Ballast Calculator'!$D$61,'Drop down Options'!$BW$215:$BZ$248,4,FALSE)*(Platforms!L86+Platforms!AF86)/Platforms!L86</f>
        <v>0</v>
      </c>
      <c r="AS86" s="167">
        <f>-AR86+VLOOKUP('Ballast Calculator'!$D$61,'Drop down Options'!$BW$215:$BZ$248,4,FALSE)</f>
        <v>0</v>
      </c>
      <c r="AT86" s="167">
        <f>-VLOOKUP('Ballast Calculator'!$D$61,'Drop down Options'!$BW$215:$BZ$248,4,FALSE)*Platforms!AF86/Platforms!L86</f>
        <v>0</v>
      </c>
      <c r="AU86">
        <v>0</v>
      </c>
      <c r="AV86">
        <f>VLOOKUP('Ballast Calculator'!$D$64,'Drop down Options'!$CF$253:$CI$272,4,FALSE)</f>
        <v>77</v>
      </c>
      <c r="AW86">
        <f>VLOOKUP('Ballast Calculator'!$D$67,'Drop down Options'!$CS$289:$CV$293,4,FALSE)*Platforms!AZ86/Platforms!L86</f>
        <v>-290.3957663957664</v>
      </c>
      <c r="AX86">
        <f>AW86+VLOOKUP('Ballast Calculator'!$D$67,'Drop down Options'!$CS$289:$CV$293,4,FALSE)</f>
        <v>329.6042336042336</v>
      </c>
      <c r="AY86">
        <f>VLOOKUP('Ballast Calculator'!$D$67,'Drop down Options'!$CS$289:$CV$293,4,FALSE)*(Platforms!AZ86+Platforms!L86)/Platforms!L86</f>
        <v>329.6042336042336</v>
      </c>
      <c r="AZ86">
        <f t="shared" si="10"/>
        <v>-1239.1</v>
      </c>
    </row>
    <row r="87" spans="1:52" ht="12.75">
      <c r="A87" s="52" t="str">
        <f t="shared" si="6"/>
        <v>7130PremiumMFWD TLSPQ+</v>
      </c>
      <c r="B87">
        <v>85</v>
      </c>
      <c r="C87" t="s">
        <v>77</v>
      </c>
      <c r="D87" t="s">
        <v>71</v>
      </c>
      <c r="E87" t="s">
        <v>73</v>
      </c>
      <c r="F87" t="s">
        <v>69</v>
      </c>
      <c r="G87" s="53">
        <v>39870</v>
      </c>
      <c r="H87">
        <v>5400</v>
      </c>
      <c r="I87">
        <v>1129</v>
      </c>
      <c r="J87">
        <v>137</v>
      </c>
      <c r="K87" s="54">
        <v>450</v>
      </c>
      <c r="L87" s="54">
        <v>2645.5</v>
      </c>
      <c r="M87">
        <v>880</v>
      </c>
      <c r="N87">
        <v>9500</v>
      </c>
      <c r="O87">
        <v>6580</v>
      </c>
      <c r="P87">
        <v>6800</v>
      </c>
      <c r="Q87" s="52">
        <f t="shared" si="7"/>
        <v>2304.5171045171046</v>
      </c>
      <c r="R87" s="52">
        <f t="shared" si="8"/>
        <v>3095.4828954828954</v>
      </c>
      <c r="S87" s="52">
        <f t="shared" si="9"/>
        <v>3095.4828954828954</v>
      </c>
      <c r="T87">
        <v>-1239.4</v>
      </c>
      <c r="U87">
        <v>352.6</v>
      </c>
      <c r="V87" s="54">
        <v>1583</v>
      </c>
      <c r="W87" s="54">
        <v>965</v>
      </c>
      <c r="Z87" t="s">
        <v>401</v>
      </c>
      <c r="AA87" t="s">
        <v>401</v>
      </c>
      <c r="AB87" t="s">
        <v>401</v>
      </c>
      <c r="AC87" t="s">
        <v>401</v>
      </c>
      <c r="AD87" t="s">
        <v>401</v>
      </c>
      <c r="AE87" t="s">
        <v>401</v>
      </c>
      <c r="AF87">
        <f t="shared" si="11"/>
        <v>3656</v>
      </c>
      <c r="AG87">
        <f>VLOOKUP('Ballast Calculator'!$D$67,'Drop down Options'!$CS$289:$CV$293,4,FALSE)*Platforms!T87/Platforms!L87</f>
        <v>-290.4660744660745</v>
      </c>
      <c r="AH87">
        <f>VLOOKUP('Ballast Calculator'!$D$67,'Drop down Options'!$CS$289:$CV$293,4,FALSE)+(VLOOKUP('Ballast Calculator'!$D$67,'Drop down Options'!$CS$289:$CV$293,4,FALSE)*T87)/L87</f>
        <v>329.5339255339255</v>
      </c>
      <c r="AI87">
        <f>VLOOKUP('Ballast Calculator'!$D$67,'Drop down Options'!$CS$289:$CV$293,4,FALSE)*(Platforms!L87+Platforms!T87)/Platforms!L87</f>
        <v>329.5339255339255</v>
      </c>
      <c r="AJ87">
        <v>-942.7</v>
      </c>
      <c r="AK87">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87">
        <f>IF(VLOOKUP('Ballast Calculator'!$D$50,'Drop down Options'!$AN$202:$AQ$210,4,FALSE)="",0,Platforms!AK87)</f>
        <v>2494.5318654318653</v>
      </c>
      <c r="AM87">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87">
        <f>IF(VLOOKUP('Ballast Calculator'!$D$50,'Drop down Options'!$AN$202:$AQ$210,4,FALSE)="",0,Platforms!AM87)</f>
        <v>-1106.2318654318653</v>
      </c>
      <c r="AO87">
        <f>VLOOKUP('Ballast Calculator'!$D$54,'Drop down Options'!$CN$277:$CR$280,5,FALSE)*Platforms!AJ87/Platforms!L87</f>
        <v>0</v>
      </c>
      <c r="AP87" s="167">
        <f>VLOOKUP('Ballast Calculator'!$D$54,'Drop down Options'!$CN$277:$CR$280,5,FALSE)+VLOOKUP('Ballast Calculator'!$D$54,'Drop down Options'!$CN$277:$CR$280,5,FALSE)*Platforms!AJ87/Platforms!L87</f>
        <v>0</v>
      </c>
      <c r="AQ87" s="167">
        <f>VLOOKUP('Ballast Calculator'!$D$54,'Drop down Options'!$CN$277:$CR$280,5,FALSE)*(Platforms!AJ87+Platforms!L87)/Platforms!L87</f>
        <v>0</v>
      </c>
      <c r="AR87">
        <f>VLOOKUP('Ballast Calculator'!$D$61,'Drop down Options'!$BW$215:$BZ$248,4,FALSE)*(Platforms!L87+Platforms!AF87)/Platforms!L87</f>
        <v>0</v>
      </c>
      <c r="AS87" s="167">
        <f>-AR87+VLOOKUP('Ballast Calculator'!$D$61,'Drop down Options'!$BW$215:$BZ$248,4,FALSE)</f>
        <v>0</v>
      </c>
      <c r="AT87" s="167">
        <f>-VLOOKUP('Ballast Calculator'!$D$61,'Drop down Options'!$BW$215:$BZ$248,4,FALSE)*Platforms!AF87/Platforms!L87</f>
        <v>0</v>
      </c>
      <c r="AU87">
        <v>0</v>
      </c>
      <c r="AV87">
        <f>VLOOKUP('Ballast Calculator'!$D$64,'Drop down Options'!$CF$253:$CI$272,4,FALSE)</f>
        <v>77</v>
      </c>
      <c r="AW87">
        <f>VLOOKUP('Ballast Calculator'!$D$67,'Drop down Options'!$CS$289:$CV$293,4,FALSE)*Platforms!AZ87/Platforms!L87</f>
        <v>-290.3957663957664</v>
      </c>
      <c r="AX87">
        <f>AW87+VLOOKUP('Ballast Calculator'!$D$67,'Drop down Options'!$CS$289:$CV$293,4,FALSE)</f>
        <v>329.6042336042336</v>
      </c>
      <c r="AY87">
        <f>VLOOKUP('Ballast Calculator'!$D$67,'Drop down Options'!$CS$289:$CV$293,4,FALSE)*(Platforms!AZ87+Platforms!L87)/Platforms!L87</f>
        <v>329.6042336042336</v>
      </c>
      <c r="AZ87">
        <f t="shared" si="10"/>
        <v>-1239.1</v>
      </c>
    </row>
    <row r="88" spans="1:52" ht="12.75">
      <c r="A88" s="52" t="str">
        <f t="shared" si="6"/>
        <v>7130PremiumMFWD TLSAQ+</v>
      </c>
      <c r="B88">
        <v>86</v>
      </c>
      <c r="C88" t="s">
        <v>77</v>
      </c>
      <c r="D88" t="s">
        <v>71</v>
      </c>
      <c r="E88" t="s">
        <v>73</v>
      </c>
      <c r="F88" t="s">
        <v>72</v>
      </c>
      <c r="G88" s="53">
        <v>39870</v>
      </c>
      <c r="H88">
        <v>5400</v>
      </c>
      <c r="I88">
        <v>1129</v>
      </c>
      <c r="J88">
        <v>137</v>
      </c>
      <c r="K88" s="54">
        <v>450</v>
      </c>
      <c r="L88" s="54">
        <v>2645.5</v>
      </c>
      <c r="M88">
        <v>880</v>
      </c>
      <c r="N88">
        <v>9500</v>
      </c>
      <c r="O88">
        <v>6580</v>
      </c>
      <c r="P88">
        <v>6800</v>
      </c>
      <c r="Q88" s="52">
        <f t="shared" si="7"/>
        <v>2304.5171045171046</v>
      </c>
      <c r="R88" s="52">
        <f t="shared" si="8"/>
        <v>3095.4828954828954</v>
      </c>
      <c r="S88" s="52">
        <f t="shared" si="9"/>
        <v>3095.4828954828954</v>
      </c>
      <c r="T88">
        <v>-1239.4</v>
      </c>
      <c r="U88">
        <v>352.6</v>
      </c>
      <c r="V88" s="54">
        <v>1583</v>
      </c>
      <c r="W88" s="54">
        <v>965</v>
      </c>
      <c r="Z88" t="s">
        <v>401</v>
      </c>
      <c r="AA88" t="s">
        <v>401</v>
      </c>
      <c r="AB88" t="s">
        <v>401</v>
      </c>
      <c r="AC88" t="s">
        <v>401</v>
      </c>
      <c r="AD88" t="s">
        <v>401</v>
      </c>
      <c r="AE88" t="s">
        <v>401</v>
      </c>
      <c r="AF88">
        <f t="shared" si="11"/>
        <v>3656</v>
      </c>
      <c r="AG88">
        <f>VLOOKUP('Ballast Calculator'!$D$67,'Drop down Options'!$CS$289:$CV$293,4,FALSE)*Platforms!T88/Platforms!L88</f>
        <v>-290.4660744660745</v>
      </c>
      <c r="AH88">
        <f>VLOOKUP('Ballast Calculator'!$D$67,'Drop down Options'!$CS$289:$CV$293,4,FALSE)+(VLOOKUP('Ballast Calculator'!$D$67,'Drop down Options'!$CS$289:$CV$293,4,FALSE)*T88)/L88</f>
        <v>329.5339255339255</v>
      </c>
      <c r="AI88">
        <f>VLOOKUP('Ballast Calculator'!$D$67,'Drop down Options'!$CS$289:$CV$293,4,FALSE)*(Platforms!L88+Platforms!T88)/Platforms!L88</f>
        <v>329.5339255339255</v>
      </c>
      <c r="AJ88">
        <v>-942.7</v>
      </c>
      <c r="AK88">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88">
        <f>IF(VLOOKUP('Ballast Calculator'!$D$50,'Drop down Options'!$AN$202:$AQ$210,4,FALSE)="",0,Platforms!AK88)</f>
        <v>2494.5318654318653</v>
      </c>
      <c r="AM88">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88">
        <f>IF(VLOOKUP('Ballast Calculator'!$D$50,'Drop down Options'!$AN$202:$AQ$210,4,FALSE)="",0,Platforms!AM88)</f>
        <v>-1106.2318654318653</v>
      </c>
      <c r="AO88">
        <f>VLOOKUP('Ballast Calculator'!$D$54,'Drop down Options'!$CN$277:$CR$280,5,FALSE)*Platforms!AJ88/Platforms!L88</f>
        <v>0</v>
      </c>
      <c r="AP88" s="167">
        <f>VLOOKUP('Ballast Calculator'!$D$54,'Drop down Options'!$CN$277:$CR$280,5,FALSE)+VLOOKUP('Ballast Calculator'!$D$54,'Drop down Options'!$CN$277:$CR$280,5,FALSE)*Platforms!AJ88/Platforms!L88</f>
        <v>0</v>
      </c>
      <c r="AQ88" s="167">
        <f>VLOOKUP('Ballast Calculator'!$D$54,'Drop down Options'!$CN$277:$CR$280,5,FALSE)*(Platforms!AJ88+Platforms!L88)/Platforms!L88</f>
        <v>0</v>
      </c>
      <c r="AR88">
        <f>VLOOKUP('Ballast Calculator'!$D$61,'Drop down Options'!$BW$215:$BZ$248,4,FALSE)*(Platforms!L88+Platforms!AF88)/Platforms!L88</f>
        <v>0</v>
      </c>
      <c r="AS88" s="167">
        <f>-AR88+VLOOKUP('Ballast Calculator'!$D$61,'Drop down Options'!$BW$215:$BZ$248,4,FALSE)</f>
        <v>0</v>
      </c>
      <c r="AT88" s="167">
        <f>-VLOOKUP('Ballast Calculator'!$D$61,'Drop down Options'!$BW$215:$BZ$248,4,FALSE)*Platforms!AF88/Platforms!L88</f>
        <v>0</v>
      </c>
      <c r="AU88">
        <v>0</v>
      </c>
      <c r="AV88">
        <f>VLOOKUP('Ballast Calculator'!$D$64,'Drop down Options'!$CF$253:$CI$272,4,FALSE)</f>
        <v>77</v>
      </c>
      <c r="AW88">
        <f>VLOOKUP('Ballast Calculator'!$D$67,'Drop down Options'!$CS$289:$CV$293,4,FALSE)*Platforms!AZ88/Platforms!L88</f>
        <v>-290.3957663957664</v>
      </c>
      <c r="AX88">
        <f>AW88+VLOOKUP('Ballast Calculator'!$D$67,'Drop down Options'!$CS$289:$CV$293,4,FALSE)</f>
        <v>329.6042336042336</v>
      </c>
      <c r="AY88">
        <f>VLOOKUP('Ballast Calculator'!$D$67,'Drop down Options'!$CS$289:$CV$293,4,FALSE)*(Platforms!AZ88+Platforms!L88)/Platforms!L88</f>
        <v>329.6042336042336</v>
      </c>
      <c r="AZ88">
        <f t="shared" si="10"/>
        <v>-1239.1</v>
      </c>
    </row>
    <row r="89" spans="1:52" ht="12.75">
      <c r="A89" s="52" t="str">
        <f t="shared" si="6"/>
        <v>7130PremiumMFWD TLSIVT</v>
      </c>
      <c r="B89">
        <v>87</v>
      </c>
      <c r="C89" t="s">
        <v>77</v>
      </c>
      <c r="D89" t="s">
        <v>71</v>
      </c>
      <c r="E89" t="s">
        <v>73</v>
      </c>
      <c r="F89" t="s">
        <v>75</v>
      </c>
      <c r="G89" s="53">
        <v>39870</v>
      </c>
      <c r="H89">
        <v>5400</v>
      </c>
      <c r="I89">
        <v>1129</v>
      </c>
      <c r="J89">
        <v>137</v>
      </c>
      <c r="K89" s="54">
        <v>450</v>
      </c>
      <c r="L89" s="54">
        <v>2645.5</v>
      </c>
      <c r="M89">
        <v>880</v>
      </c>
      <c r="N89">
        <v>9500</v>
      </c>
      <c r="O89">
        <v>6580</v>
      </c>
      <c r="P89">
        <v>6800</v>
      </c>
      <c r="Q89" s="52">
        <f t="shared" si="7"/>
        <v>2304.5171045171046</v>
      </c>
      <c r="R89" s="52">
        <f t="shared" si="8"/>
        <v>3095.4828954828954</v>
      </c>
      <c r="S89" s="52">
        <f t="shared" si="9"/>
        <v>3095.4828954828954</v>
      </c>
      <c r="T89">
        <v>-1239.4</v>
      </c>
      <c r="U89">
        <v>352.6</v>
      </c>
      <c r="V89" s="54">
        <v>1583</v>
      </c>
      <c r="W89" s="54">
        <v>965</v>
      </c>
      <c r="Z89" t="s">
        <v>401</v>
      </c>
      <c r="AA89" t="s">
        <v>401</v>
      </c>
      <c r="AB89" t="s">
        <v>401</v>
      </c>
      <c r="AC89" t="s">
        <v>401</v>
      </c>
      <c r="AD89" t="s">
        <v>401</v>
      </c>
      <c r="AE89" t="s">
        <v>401</v>
      </c>
      <c r="AF89">
        <f t="shared" si="11"/>
        <v>3656</v>
      </c>
      <c r="AG89">
        <f>VLOOKUP('Ballast Calculator'!$D$67,'Drop down Options'!$CS$289:$CV$293,4,FALSE)*Platforms!T89/Platforms!L89</f>
        <v>-290.4660744660745</v>
      </c>
      <c r="AH89">
        <f>VLOOKUP('Ballast Calculator'!$D$67,'Drop down Options'!$CS$289:$CV$293,4,FALSE)+(VLOOKUP('Ballast Calculator'!$D$67,'Drop down Options'!$CS$289:$CV$293,4,FALSE)*T89)/L89</f>
        <v>329.5339255339255</v>
      </c>
      <c r="AI89">
        <f>VLOOKUP('Ballast Calculator'!$D$67,'Drop down Options'!$CS$289:$CV$293,4,FALSE)*(Platforms!L89+Platforms!T89)/Platforms!L89</f>
        <v>329.5339255339255</v>
      </c>
      <c r="AJ89">
        <v>-942.7</v>
      </c>
      <c r="AK89">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89">
        <f>IF(VLOOKUP('Ballast Calculator'!$D$50,'Drop down Options'!$AN$202:$AQ$210,4,FALSE)="",0,Platforms!AK89)</f>
        <v>2494.5318654318653</v>
      </c>
      <c r="AM89">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89">
        <f>IF(VLOOKUP('Ballast Calculator'!$D$50,'Drop down Options'!$AN$202:$AQ$210,4,FALSE)="",0,Platforms!AM89)</f>
        <v>-1106.2318654318653</v>
      </c>
      <c r="AO89">
        <f>VLOOKUP('Ballast Calculator'!$D$54,'Drop down Options'!$CN$277:$CR$280,5,FALSE)*Platforms!AJ89/Platforms!L89</f>
        <v>0</v>
      </c>
      <c r="AP89" s="167">
        <f>VLOOKUP('Ballast Calculator'!$D$54,'Drop down Options'!$CN$277:$CR$280,5,FALSE)+VLOOKUP('Ballast Calculator'!$D$54,'Drop down Options'!$CN$277:$CR$280,5,FALSE)*Platforms!AJ89/Platforms!L89</f>
        <v>0</v>
      </c>
      <c r="AQ89" s="167">
        <f>VLOOKUP('Ballast Calculator'!$D$54,'Drop down Options'!$CN$277:$CR$280,5,FALSE)*(Platforms!AJ89+Platforms!L89)/Platforms!L89</f>
        <v>0</v>
      </c>
      <c r="AR89">
        <f>VLOOKUP('Ballast Calculator'!$D$61,'Drop down Options'!$BW$215:$BZ$248,4,FALSE)*(Platforms!L89+Platforms!AF89)/Platforms!L89</f>
        <v>0</v>
      </c>
      <c r="AS89" s="167">
        <f>-AR89+VLOOKUP('Ballast Calculator'!$D$61,'Drop down Options'!$BW$215:$BZ$248,4,FALSE)</f>
        <v>0</v>
      </c>
      <c r="AT89" s="167">
        <f>-VLOOKUP('Ballast Calculator'!$D$61,'Drop down Options'!$BW$215:$BZ$248,4,FALSE)*Platforms!AF89/Platforms!L89</f>
        <v>0</v>
      </c>
      <c r="AU89">
        <v>0</v>
      </c>
      <c r="AV89">
        <f>VLOOKUP('Ballast Calculator'!$D$64,'Drop down Options'!$CF$253:$CI$272,4,FALSE)</f>
        <v>77</v>
      </c>
      <c r="AW89">
        <f>VLOOKUP('Ballast Calculator'!$D$67,'Drop down Options'!$CS$289:$CV$293,4,FALSE)*Platforms!AZ89/Platforms!L89</f>
        <v>-290.3957663957664</v>
      </c>
      <c r="AX89">
        <f>AW89+VLOOKUP('Ballast Calculator'!$D$67,'Drop down Options'!$CS$289:$CV$293,4,FALSE)</f>
        <v>329.6042336042336</v>
      </c>
      <c r="AY89">
        <f>VLOOKUP('Ballast Calculator'!$D$67,'Drop down Options'!$CS$289:$CV$293,4,FALSE)*(Platforms!AZ89+Platforms!L89)/Platforms!L89</f>
        <v>329.6042336042336</v>
      </c>
      <c r="AZ89">
        <f t="shared" si="10"/>
        <v>-1239.1</v>
      </c>
    </row>
    <row r="90" spans="1:52" ht="12.75">
      <c r="A90" s="52" t="str">
        <f t="shared" si="6"/>
        <v>7230CAB2WDS+</v>
      </c>
      <c r="B90">
        <v>88</v>
      </c>
      <c r="C90" t="s">
        <v>78</v>
      </c>
      <c r="D90" t="s">
        <v>60</v>
      </c>
      <c r="E90" t="s">
        <v>6</v>
      </c>
      <c r="F90" t="s">
        <v>68</v>
      </c>
      <c r="G90" s="53">
        <v>39870</v>
      </c>
      <c r="H90">
        <v>4800</v>
      </c>
      <c r="I90">
        <v>1039.46875</v>
      </c>
      <c r="J90">
        <v>137</v>
      </c>
      <c r="K90">
        <v>272.9</v>
      </c>
      <c r="L90">
        <v>2710</v>
      </c>
      <c r="M90">
        <v>880</v>
      </c>
      <c r="N90">
        <v>7600</v>
      </c>
      <c r="O90">
        <v>5000</v>
      </c>
      <c r="P90">
        <v>5600</v>
      </c>
      <c r="Q90" s="52">
        <f t="shared" si="7"/>
        <v>1841.1254612546124</v>
      </c>
      <c r="R90" s="52">
        <f t="shared" si="8"/>
        <v>2958.8745387453873</v>
      </c>
      <c r="S90" s="52">
        <f t="shared" si="9"/>
        <v>2958.8745387453873</v>
      </c>
      <c r="T90">
        <v>-1239.4</v>
      </c>
      <c r="U90">
        <v>352.6</v>
      </c>
      <c r="V90" s="54">
        <v>1583</v>
      </c>
      <c r="W90" s="54">
        <v>965</v>
      </c>
      <c r="X90" t="s">
        <v>401</v>
      </c>
      <c r="Y90" t="s">
        <v>401</v>
      </c>
      <c r="Z90" t="s">
        <v>401</v>
      </c>
      <c r="AA90" t="s">
        <v>401</v>
      </c>
      <c r="AB90" t="s">
        <v>401</v>
      </c>
      <c r="AC90" t="s">
        <v>401</v>
      </c>
      <c r="AD90" t="s">
        <v>401</v>
      </c>
      <c r="AE90" t="s">
        <v>401</v>
      </c>
      <c r="AF90">
        <f t="shared" si="11"/>
        <v>3656</v>
      </c>
      <c r="AG90">
        <f>VLOOKUP('Ballast Calculator'!$D$67,'Drop down Options'!$CS$289:$CV$293,4,FALSE)*Platforms!T90/Platforms!L90</f>
        <v>-283.55276752767526</v>
      </c>
      <c r="AH90">
        <f>VLOOKUP('Ballast Calculator'!$D$67,'Drop down Options'!$CS$289:$CV$293,4,FALSE)+(VLOOKUP('Ballast Calculator'!$D$67,'Drop down Options'!$CS$289:$CV$293,4,FALSE)*T90)/L90</f>
        <v>336.44723247232474</v>
      </c>
      <c r="AI90">
        <f>VLOOKUP('Ballast Calculator'!$D$67,'Drop down Options'!$CS$289:$CV$293,4,FALSE)*(Platforms!L90+Platforms!T90)/Platforms!L90</f>
        <v>336.44723247232474</v>
      </c>
      <c r="AJ90">
        <v>-942.7</v>
      </c>
      <c r="AK90">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90">
        <f>IF(VLOOKUP('Ballast Calculator'!$D$50,'Drop down Options'!$AN$202:$AQ$210,4,FALSE)="",0,Platforms!AK90)</f>
        <v>2494.5318654318653</v>
      </c>
      <c r="AM90">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90">
        <f>IF(VLOOKUP('Ballast Calculator'!$D$50,'Drop down Options'!$AN$202:$AQ$210,4,FALSE)="",0,Platforms!AM90)</f>
        <v>-1106.2318654318653</v>
      </c>
      <c r="AO90">
        <f>VLOOKUP('Ballast Calculator'!$D$54,'Drop down Options'!$CN$277:$CR$280,5,FALSE)*Platforms!AJ90/Platforms!L90</f>
        <v>0</v>
      </c>
      <c r="AP90" s="167">
        <f>VLOOKUP('Ballast Calculator'!$D$54,'Drop down Options'!$CN$277:$CR$280,5,FALSE)+VLOOKUP('Ballast Calculator'!$D$54,'Drop down Options'!$CN$277:$CR$280,5,FALSE)*Platforms!AJ90/Platforms!L90</f>
        <v>0</v>
      </c>
      <c r="AQ90" s="167">
        <f>VLOOKUP('Ballast Calculator'!$D$54,'Drop down Options'!$CN$277:$CR$280,5,FALSE)*(Platforms!AJ90+Platforms!L90)/Platforms!L90</f>
        <v>0</v>
      </c>
      <c r="AR90">
        <f>VLOOKUP('Ballast Calculator'!$D$61,'Drop down Options'!$BW$215:$BZ$248,4,FALSE)*(Platforms!L90+Platforms!AF90)/Platforms!L90</f>
        <v>0</v>
      </c>
      <c r="AS90" s="167">
        <f>-AR90+VLOOKUP('Ballast Calculator'!$D$61,'Drop down Options'!$BW$215:$BZ$248,4,FALSE)</f>
        <v>0</v>
      </c>
      <c r="AT90" s="167">
        <f>-VLOOKUP('Ballast Calculator'!$D$61,'Drop down Options'!$BW$215:$BZ$248,4,FALSE)*Platforms!AF90/Platforms!L90</f>
        <v>0</v>
      </c>
      <c r="AU90">
        <v>0</v>
      </c>
      <c r="AV90">
        <f>VLOOKUP('Ballast Calculator'!$D$64,'Drop down Options'!$CF$253:$CI$272,4,FALSE)</f>
        <v>77</v>
      </c>
      <c r="AW90">
        <f>VLOOKUP('Ballast Calculator'!$D$67,'Drop down Options'!$CS$289:$CV$293,4,FALSE)*Platforms!AZ90/Platforms!L90</f>
        <v>-283.4841328413284</v>
      </c>
      <c r="AX90">
        <f>AW90+VLOOKUP('Ballast Calculator'!$D$67,'Drop down Options'!$CS$289:$CV$293,4,FALSE)</f>
        <v>336.5158671586716</v>
      </c>
      <c r="AY90">
        <f>VLOOKUP('Ballast Calculator'!$D$67,'Drop down Options'!$CS$289:$CV$293,4,FALSE)*(Platforms!AZ90+Platforms!L90)/Platforms!L90</f>
        <v>336.5158671586716</v>
      </c>
      <c r="AZ90">
        <f t="shared" si="10"/>
        <v>-1239.1</v>
      </c>
    </row>
    <row r="91" spans="1:52" ht="12.75">
      <c r="A91" s="52" t="str">
        <f t="shared" si="6"/>
        <v>7230CAB2WDPQ+</v>
      </c>
      <c r="B91">
        <v>89</v>
      </c>
      <c r="C91" t="s">
        <v>78</v>
      </c>
      <c r="D91" t="s">
        <v>60</v>
      </c>
      <c r="E91" t="s">
        <v>6</v>
      </c>
      <c r="F91" t="s">
        <v>69</v>
      </c>
      <c r="G91" s="53">
        <v>39870</v>
      </c>
      <c r="H91">
        <v>4800</v>
      </c>
      <c r="I91">
        <v>1039.46875</v>
      </c>
      <c r="J91">
        <v>137</v>
      </c>
      <c r="K91">
        <v>272.9</v>
      </c>
      <c r="L91">
        <v>2710</v>
      </c>
      <c r="M91">
        <v>880</v>
      </c>
      <c r="N91">
        <v>7600</v>
      </c>
      <c r="O91">
        <v>5000</v>
      </c>
      <c r="P91">
        <v>5600</v>
      </c>
      <c r="Q91" s="52">
        <f t="shared" si="7"/>
        <v>1841.1254612546124</v>
      </c>
      <c r="R91" s="52">
        <f t="shared" si="8"/>
        <v>2958.8745387453873</v>
      </c>
      <c r="S91" s="52">
        <f t="shared" si="9"/>
        <v>2958.8745387453873</v>
      </c>
      <c r="T91">
        <v>-1239.4</v>
      </c>
      <c r="U91">
        <v>352.6</v>
      </c>
      <c r="V91" s="54">
        <v>1583</v>
      </c>
      <c r="W91" s="54">
        <v>965</v>
      </c>
      <c r="X91" t="s">
        <v>401</v>
      </c>
      <c r="Y91" t="s">
        <v>401</v>
      </c>
      <c r="Z91" t="s">
        <v>401</v>
      </c>
      <c r="AA91" t="s">
        <v>401</v>
      </c>
      <c r="AB91" t="s">
        <v>401</v>
      </c>
      <c r="AC91" t="s">
        <v>401</v>
      </c>
      <c r="AD91" t="s">
        <v>401</v>
      </c>
      <c r="AE91" t="s">
        <v>401</v>
      </c>
      <c r="AF91">
        <f t="shared" si="11"/>
        <v>3656</v>
      </c>
      <c r="AG91">
        <f>VLOOKUP('Ballast Calculator'!$D$67,'Drop down Options'!$CS$289:$CV$293,4,FALSE)*Platforms!T91/Platforms!L91</f>
        <v>-283.55276752767526</v>
      </c>
      <c r="AH91">
        <f>VLOOKUP('Ballast Calculator'!$D$67,'Drop down Options'!$CS$289:$CV$293,4,FALSE)+(VLOOKUP('Ballast Calculator'!$D$67,'Drop down Options'!$CS$289:$CV$293,4,FALSE)*T91)/L91</f>
        <v>336.44723247232474</v>
      </c>
      <c r="AI91">
        <f>VLOOKUP('Ballast Calculator'!$D$67,'Drop down Options'!$CS$289:$CV$293,4,FALSE)*(Platforms!L91+Platforms!T91)/Platforms!L91</f>
        <v>336.44723247232474</v>
      </c>
      <c r="AJ91">
        <v>-942.7</v>
      </c>
      <c r="AK91">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91">
        <f>IF(VLOOKUP('Ballast Calculator'!$D$50,'Drop down Options'!$AN$202:$AQ$210,4,FALSE)="",0,Platforms!AK91)</f>
        <v>2494.5318654318653</v>
      </c>
      <c r="AM91">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91">
        <f>IF(VLOOKUP('Ballast Calculator'!$D$50,'Drop down Options'!$AN$202:$AQ$210,4,FALSE)="",0,Platforms!AM91)</f>
        <v>-1106.2318654318653</v>
      </c>
      <c r="AO91">
        <f>VLOOKUP('Ballast Calculator'!$D$54,'Drop down Options'!$CN$277:$CR$280,5,FALSE)*Platforms!AJ91/Platforms!L91</f>
        <v>0</v>
      </c>
      <c r="AP91" s="167">
        <f>VLOOKUP('Ballast Calculator'!$D$54,'Drop down Options'!$CN$277:$CR$280,5,FALSE)+VLOOKUP('Ballast Calculator'!$D$54,'Drop down Options'!$CN$277:$CR$280,5,FALSE)*Platforms!AJ91/Platforms!L91</f>
        <v>0</v>
      </c>
      <c r="AQ91" s="167">
        <f>VLOOKUP('Ballast Calculator'!$D$54,'Drop down Options'!$CN$277:$CR$280,5,FALSE)*(Platforms!AJ91+Platforms!L91)/Platforms!L91</f>
        <v>0</v>
      </c>
      <c r="AR91">
        <f>VLOOKUP('Ballast Calculator'!$D$61,'Drop down Options'!$BW$215:$BZ$248,4,FALSE)*(Platforms!L91+Platforms!AF91)/Platforms!L91</f>
        <v>0</v>
      </c>
      <c r="AS91" s="167">
        <f>-AR91+VLOOKUP('Ballast Calculator'!$D$61,'Drop down Options'!$BW$215:$BZ$248,4,FALSE)</f>
        <v>0</v>
      </c>
      <c r="AT91" s="167">
        <f>-VLOOKUP('Ballast Calculator'!$D$61,'Drop down Options'!$BW$215:$BZ$248,4,FALSE)*Platforms!AF91/Platforms!L91</f>
        <v>0</v>
      </c>
      <c r="AU91">
        <v>0</v>
      </c>
      <c r="AV91">
        <f>VLOOKUP('Ballast Calculator'!$D$64,'Drop down Options'!$CF$253:$CI$272,4,FALSE)</f>
        <v>77</v>
      </c>
      <c r="AW91">
        <f>VLOOKUP('Ballast Calculator'!$D$67,'Drop down Options'!$CS$289:$CV$293,4,FALSE)*Platforms!AZ91/Platforms!L91</f>
        <v>-283.4841328413284</v>
      </c>
      <c r="AX91">
        <f>AW91+VLOOKUP('Ballast Calculator'!$D$67,'Drop down Options'!$CS$289:$CV$293,4,FALSE)</f>
        <v>336.5158671586716</v>
      </c>
      <c r="AY91">
        <f>VLOOKUP('Ballast Calculator'!$D$67,'Drop down Options'!$CS$289:$CV$293,4,FALSE)*(Platforms!AZ91+Platforms!L91)/Platforms!L91</f>
        <v>336.5158671586716</v>
      </c>
      <c r="AZ91">
        <f t="shared" si="10"/>
        <v>-1239.1</v>
      </c>
    </row>
    <row r="92" spans="1:52" ht="12.75">
      <c r="A92" s="52" t="str">
        <f t="shared" si="6"/>
        <v>7230OOS2WDS+</v>
      </c>
      <c r="B92">
        <v>90</v>
      </c>
      <c r="C92" t="s">
        <v>78</v>
      </c>
      <c r="D92" t="s">
        <v>63</v>
      </c>
      <c r="E92" t="s">
        <v>6</v>
      </c>
      <c r="F92" s="54" t="s">
        <v>68</v>
      </c>
      <c r="G92" s="53">
        <v>39870</v>
      </c>
      <c r="H92">
        <v>4400</v>
      </c>
      <c r="I92">
        <v>1039.46875</v>
      </c>
      <c r="J92">
        <v>137</v>
      </c>
      <c r="K92">
        <v>272.9</v>
      </c>
      <c r="L92">
        <v>2710</v>
      </c>
      <c r="M92">
        <v>880</v>
      </c>
      <c r="N92">
        <v>7600</v>
      </c>
      <c r="O92">
        <v>5000</v>
      </c>
      <c r="P92">
        <v>5600</v>
      </c>
      <c r="Q92" s="52">
        <f t="shared" si="7"/>
        <v>1687.6983394833949</v>
      </c>
      <c r="R92" s="52">
        <f t="shared" si="8"/>
        <v>2712.301660516605</v>
      </c>
      <c r="S92" s="52">
        <f t="shared" si="9"/>
        <v>2712.3016605166054</v>
      </c>
      <c r="T92">
        <v>-1239.4</v>
      </c>
      <c r="U92">
        <v>352.6</v>
      </c>
      <c r="V92" s="54">
        <v>1583</v>
      </c>
      <c r="W92" s="54">
        <v>965</v>
      </c>
      <c r="X92" t="s">
        <v>401</v>
      </c>
      <c r="Y92" t="s">
        <v>401</v>
      </c>
      <c r="Z92" t="s">
        <v>401</v>
      </c>
      <c r="AA92" t="s">
        <v>401</v>
      </c>
      <c r="AB92" t="s">
        <v>401</v>
      </c>
      <c r="AC92" t="s">
        <v>401</v>
      </c>
      <c r="AD92" t="s">
        <v>401</v>
      </c>
      <c r="AE92" t="s">
        <v>401</v>
      </c>
      <c r="AF92">
        <f t="shared" si="11"/>
        <v>3656</v>
      </c>
      <c r="AG92">
        <f>VLOOKUP('Ballast Calculator'!$D$67,'Drop down Options'!$CS$289:$CV$293,4,FALSE)*Platforms!T92/Platforms!L92</f>
        <v>-283.55276752767526</v>
      </c>
      <c r="AH92">
        <f>VLOOKUP('Ballast Calculator'!$D$67,'Drop down Options'!$CS$289:$CV$293,4,FALSE)+(VLOOKUP('Ballast Calculator'!$D$67,'Drop down Options'!$CS$289:$CV$293,4,FALSE)*T92)/L92</f>
        <v>336.44723247232474</v>
      </c>
      <c r="AI92">
        <f>VLOOKUP('Ballast Calculator'!$D$67,'Drop down Options'!$CS$289:$CV$293,4,FALSE)*(Platforms!L92+Platforms!T92)/Platforms!L92</f>
        <v>336.44723247232474</v>
      </c>
      <c r="AJ92">
        <v>-942.7</v>
      </c>
      <c r="AK92">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92">
        <f>IF(VLOOKUP('Ballast Calculator'!$D$50,'Drop down Options'!$AN$202:$AQ$210,4,FALSE)="",0,Platforms!AK92)</f>
        <v>2494.5318654318653</v>
      </c>
      <c r="AM92">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92">
        <f>IF(VLOOKUP('Ballast Calculator'!$D$50,'Drop down Options'!$AN$202:$AQ$210,4,FALSE)="",0,Platforms!AM92)</f>
        <v>-1106.2318654318653</v>
      </c>
      <c r="AO92">
        <f>VLOOKUP('Ballast Calculator'!$D$54,'Drop down Options'!$CN$277:$CR$280,5,FALSE)*Platforms!AJ92/Platforms!L92</f>
        <v>0</v>
      </c>
      <c r="AP92" s="167">
        <f>VLOOKUP('Ballast Calculator'!$D$54,'Drop down Options'!$CN$277:$CR$280,5,FALSE)+VLOOKUP('Ballast Calculator'!$D$54,'Drop down Options'!$CN$277:$CR$280,5,FALSE)*Platforms!AJ92/Platforms!L92</f>
        <v>0</v>
      </c>
      <c r="AQ92" s="167">
        <f>VLOOKUP('Ballast Calculator'!$D$54,'Drop down Options'!$CN$277:$CR$280,5,FALSE)*(Platforms!AJ92+Platforms!L92)/Platforms!L92</f>
        <v>0</v>
      </c>
      <c r="AR92">
        <f>VLOOKUP('Ballast Calculator'!$D$61,'Drop down Options'!$BW$215:$BZ$248,4,FALSE)*(Platforms!L92+Platforms!AF92)/Platforms!L92</f>
        <v>0</v>
      </c>
      <c r="AS92" s="167">
        <f>-AR92+VLOOKUP('Ballast Calculator'!$D$61,'Drop down Options'!$BW$215:$BZ$248,4,FALSE)</f>
        <v>0</v>
      </c>
      <c r="AT92" s="167">
        <f>-VLOOKUP('Ballast Calculator'!$D$61,'Drop down Options'!$BW$215:$BZ$248,4,FALSE)*Platforms!AF92/Platforms!L92</f>
        <v>0</v>
      </c>
      <c r="AU92">
        <v>0</v>
      </c>
      <c r="AV92">
        <f>VLOOKUP('Ballast Calculator'!$D$64,'Drop down Options'!$CF$253:$CI$272,4,FALSE)</f>
        <v>77</v>
      </c>
      <c r="AW92">
        <f>VLOOKUP('Ballast Calculator'!$D$67,'Drop down Options'!$CS$289:$CV$293,4,FALSE)*Platforms!AZ92/Platforms!L92</f>
        <v>-283.4841328413284</v>
      </c>
      <c r="AX92">
        <f>AW92+VLOOKUP('Ballast Calculator'!$D$67,'Drop down Options'!$CS$289:$CV$293,4,FALSE)</f>
        <v>336.5158671586716</v>
      </c>
      <c r="AY92">
        <f>VLOOKUP('Ballast Calculator'!$D$67,'Drop down Options'!$CS$289:$CV$293,4,FALSE)*(Platforms!AZ92+Platforms!L92)/Platforms!L92</f>
        <v>336.5158671586716</v>
      </c>
      <c r="AZ92">
        <f t="shared" si="10"/>
        <v>-1239.1</v>
      </c>
    </row>
    <row r="93" spans="1:52" ht="12.75">
      <c r="A93" s="52" t="str">
        <f t="shared" si="6"/>
        <v>7230OOS2WDPQ</v>
      </c>
      <c r="B93">
        <v>91</v>
      </c>
      <c r="C93" t="s">
        <v>78</v>
      </c>
      <c r="D93" t="s">
        <v>63</v>
      </c>
      <c r="E93" t="s">
        <v>6</v>
      </c>
      <c r="F93" s="54" t="s">
        <v>70</v>
      </c>
      <c r="G93" s="53">
        <v>39870</v>
      </c>
      <c r="H93">
        <v>4400</v>
      </c>
      <c r="I93">
        <v>1039.46875</v>
      </c>
      <c r="J93">
        <v>137</v>
      </c>
      <c r="K93">
        <v>272.9</v>
      </c>
      <c r="L93">
        <v>2710</v>
      </c>
      <c r="M93">
        <v>880</v>
      </c>
      <c r="N93">
        <v>7600</v>
      </c>
      <c r="O93">
        <v>5000</v>
      </c>
      <c r="P93">
        <v>5600</v>
      </c>
      <c r="Q93" s="52">
        <f t="shared" si="7"/>
        <v>1687.6983394833949</v>
      </c>
      <c r="R93" s="52">
        <f t="shared" si="8"/>
        <v>2712.301660516605</v>
      </c>
      <c r="S93" s="52">
        <f t="shared" si="9"/>
        <v>2712.3016605166054</v>
      </c>
      <c r="T93">
        <v>-1239.4</v>
      </c>
      <c r="U93">
        <v>352.6</v>
      </c>
      <c r="V93" s="54">
        <v>1583</v>
      </c>
      <c r="W93" s="54">
        <v>965</v>
      </c>
      <c r="X93" t="s">
        <v>401</v>
      </c>
      <c r="Y93" t="s">
        <v>401</v>
      </c>
      <c r="Z93" t="s">
        <v>401</v>
      </c>
      <c r="AA93" t="s">
        <v>401</v>
      </c>
      <c r="AB93" t="s">
        <v>401</v>
      </c>
      <c r="AC93" t="s">
        <v>401</v>
      </c>
      <c r="AD93" t="s">
        <v>401</v>
      </c>
      <c r="AE93" t="s">
        <v>401</v>
      </c>
      <c r="AF93">
        <f t="shared" si="11"/>
        <v>3656</v>
      </c>
      <c r="AG93">
        <f>VLOOKUP('Ballast Calculator'!$D$67,'Drop down Options'!$CS$289:$CV$293,4,FALSE)*Platforms!T93/Platforms!L93</f>
        <v>-283.55276752767526</v>
      </c>
      <c r="AH93">
        <f>VLOOKUP('Ballast Calculator'!$D$67,'Drop down Options'!$CS$289:$CV$293,4,FALSE)+(VLOOKUP('Ballast Calculator'!$D$67,'Drop down Options'!$CS$289:$CV$293,4,FALSE)*T93)/L93</f>
        <v>336.44723247232474</v>
      </c>
      <c r="AI93">
        <f>VLOOKUP('Ballast Calculator'!$D$67,'Drop down Options'!$CS$289:$CV$293,4,FALSE)*(Platforms!L93+Platforms!T93)/Platforms!L93</f>
        <v>336.44723247232474</v>
      </c>
      <c r="AJ93">
        <v>-942.7</v>
      </c>
      <c r="AK93">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93">
        <f>IF(VLOOKUP('Ballast Calculator'!$D$50,'Drop down Options'!$AN$202:$AQ$210,4,FALSE)="",0,Platforms!AK93)</f>
        <v>2494.5318654318653</v>
      </c>
      <c r="AM93">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93">
        <f>IF(VLOOKUP('Ballast Calculator'!$D$50,'Drop down Options'!$AN$202:$AQ$210,4,FALSE)="",0,Platforms!AM93)</f>
        <v>-1106.2318654318653</v>
      </c>
      <c r="AO93">
        <f>VLOOKUP('Ballast Calculator'!$D$54,'Drop down Options'!$CN$277:$CR$280,5,FALSE)*Platforms!AJ93/Platforms!L93</f>
        <v>0</v>
      </c>
      <c r="AP93" s="167">
        <f>VLOOKUP('Ballast Calculator'!$D$54,'Drop down Options'!$CN$277:$CR$280,5,FALSE)+VLOOKUP('Ballast Calculator'!$D$54,'Drop down Options'!$CN$277:$CR$280,5,FALSE)*Platforms!AJ93/Platforms!L93</f>
        <v>0</v>
      </c>
      <c r="AQ93" s="167">
        <f>VLOOKUP('Ballast Calculator'!$D$54,'Drop down Options'!$CN$277:$CR$280,5,FALSE)*(Platforms!AJ93+Platforms!L93)/Platforms!L93</f>
        <v>0</v>
      </c>
      <c r="AR93">
        <f>VLOOKUP('Ballast Calculator'!$D$61,'Drop down Options'!$BW$215:$BZ$248,4,FALSE)*(Platforms!L93+Platforms!AF93)/Platforms!L93</f>
        <v>0</v>
      </c>
      <c r="AS93" s="167">
        <f>-AR93+VLOOKUP('Ballast Calculator'!$D$61,'Drop down Options'!$BW$215:$BZ$248,4,FALSE)</f>
        <v>0</v>
      </c>
      <c r="AT93" s="167">
        <f>-VLOOKUP('Ballast Calculator'!$D$61,'Drop down Options'!$BW$215:$BZ$248,4,FALSE)*Platforms!AF93/Platforms!L93</f>
        <v>0</v>
      </c>
      <c r="AU93">
        <v>0</v>
      </c>
      <c r="AV93">
        <f>VLOOKUP('Ballast Calculator'!$D$64,'Drop down Options'!$CF$253:$CI$272,4,FALSE)</f>
        <v>77</v>
      </c>
      <c r="AW93">
        <f>VLOOKUP('Ballast Calculator'!$D$67,'Drop down Options'!$CS$289:$CV$293,4,FALSE)*Platforms!AZ93/Platforms!L93</f>
        <v>-283.4841328413284</v>
      </c>
      <c r="AX93">
        <f>AW93+VLOOKUP('Ballast Calculator'!$D$67,'Drop down Options'!$CS$289:$CV$293,4,FALSE)</f>
        <v>336.5158671586716</v>
      </c>
      <c r="AY93">
        <f>VLOOKUP('Ballast Calculator'!$D$67,'Drop down Options'!$CS$289:$CV$293,4,FALSE)*(Platforms!AZ93+Platforms!L93)/Platforms!L93</f>
        <v>336.5158671586716</v>
      </c>
      <c r="AZ93">
        <f t="shared" si="10"/>
        <v>-1239.1</v>
      </c>
    </row>
    <row r="94" spans="1:52" ht="12.75">
      <c r="A94" s="52" t="str">
        <f t="shared" si="6"/>
        <v>7230Premium2WDPQ+</v>
      </c>
      <c r="B94">
        <v>92</v>
      </c>
      <c r="C94" t="s">
        <v>78</v>
      </c>
      <c r="D94" t="s">
        <v>71</v>
      </c>
      <c r="E94" t="s">
        <v>6</v>
      </c>
      <c r="F94" t="s">
        <v>69</v>
      </c>
      <c r="G94" s="53">
        <v>39870</v>
      </c>
      <c r="H94">
        <v>5400</v>
      </c>
      <c r="I94">
        <v>1039.46875</v>
      </c>
      <c r="J94">
        <v>137</v>
      </c>
      <c r="K94">
        <v>293.7</v>
      </c>
      <c r="L94">
        <v>2846</v>
      </c>
      <c r="M94">
        <v>880</v>
      </c>
      <c r="N94">
        <v>10000</v>
      </c>
      <c r="O94">
        <v>5000</v>
      </c>
      <c r="P94">
        <v>5600</v>
      </c>
      <c r="Q94" s="52">
        <f t="shared" si="7"/>
        <v>1972.2878601546029</v>
      </c>
      <c r="R94" s="52">
        <f t="shared" si="8"/>
        <v>3427.7121398453974</v>
      </c>
      <c r="S94" s="52">
        <f t="shared" si="9"/>
        <v>3427.712139845397</v>
      </c>
      <c r="T94">
        <v>-1239.4</v>
      </c>
      <c r="U94">
        <v>352.6</v>
      </c>
      <c r="V94" s="54">
        <v>1583</v>
      </c>
      <c r="W94" s="54">
        <v>965</v>
      </c>
      <c r="X94" t="s">
        <v>401</v>
      </c>
      <c r="Y94" t="s">
        <v>401</v>
      </c>
      <c r="Z94" t="s">
        <v>401</v>
      </c>
      <c r="AA94" t="s">
        <v>401</v>
      </c>
      <c r="AB94" t="s">
        <v>401</v>
      </c>
      <c r="AC94" t="s">
        <v>401</v>
      </c>
      <c r="AD94" t="s">
        <v>401</v>
      </c>
      <c r="AE94" t="s">
        <v>401</v>
      </c>
      <c r="AF94">
        <f t="shared" si="11"/>
        <v>3656</v>
      </c>
      <c r="AG94">
        <f>VLOOKUP('Ballast Calculator'!$D$67,'Drop down Options'!$CS$289:$CV$293,4,FALSE)*Platforms!T94/Platforms!L94</f>
        <v>-270.0028109627547</v>
      </c>
      <c r="AH94">
        <f>VLOOKUP('Ballast Calculator'!$D$67,'Drop down Options'!$CS$289:$CV$293,4,FALSE)+(VLOOKUP('Ballast Calculator'!$D$67,'Drop down Options'!$CS$289:$CV$293,4,FALSE)*T94)/L94</f>
        <v>349.9971890372453</v>
      </c>
      <c r="AI94">
        <f>VLOOKUP('Ballast Calculator'!$D$67,'Drop down Options'!$CS$289:$CV$293,4,FALSE)*(Platforms!L94+Platforms!T94)/Platforms!L94</f>
        <v>349.9971890372453</v>
      </c>
      <c r="AJ94">
        <v>-942.7</v>
      </c>
      <c r="AK94">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94">
        <f>IF(VLOOKUP('Ballast Calculator'!$D$50,'Drop down Options'!$AN$202:$AQ$210,4,FALSE)="",0,Platforms!AK94)</f>
        <v>2494.5318654318653</v>
      </c>
      <c r="AM94">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94">
        <f>IF(VLOOKUP('Ballast Calculator'!$D$50,'Drop down Options'!$AN$202:$AQ$210,4,FALSE)="",0,Platforms!AM94)</f>
        <v>-1106.2318654318653</v>
      </c>
      <c r="AO94">
        <f>VLOOKUP('Ballast Calculator'!$D$54,'Drop down Options'!$CN$277:$CR$280,5,FALSE)*Platforms!AJ94/Platforms!L94</f>
        <v>0</v>
      </c>
      <c r="AP94" s="167">
        <f>VLOOKUP('Ballast Calculator'!$D$54,'Drop down Options'!$CN$277:$CR$280,5,FALSE)+VLOOKUP('Ballast Calculator'!$D$54,'Drop down Options'!$CN$277:$CR$280,5,FALSE)*Platforms!AJ94/Platforms!L94</f>
        <v>0</v>
      </c>
      <c r="AQ94" s="167">
        <f>VLOOKUP('Ballast Calculator'!$D$54,'Drop down Options'!$CN$277:$CR$280,5,FALSE)*(Platforms!AJ94+Platforms!L94)/Platforms!L94</f>
        <v>0</v>
      </c>
      <c r="AR94">
        <f>VLOOKUP('Ballast Calculator'!$D$61,'Drop down Options'!$BW$215:$BZ$248,4,FALSE)*(Platforms!L94+Platforms!AF94)/Platforms!L94</f>
        <v>0</v>
      </c>
      <c r="AS94" s="167">
        <f>-AR94+VLOOKUP('Ballast Calculator'!$D$61,'Drop down Options'!$BW$215:$BZ$248,4,FALSE)</f>
        <v>0</v>
      </c>
      <c r="AT94" s="167">
        <f>-VLOOKUP('Ballast Calculator'!$D$61,'Drop down Options'!$BW$215:$BZ$248,4,FALSE)*Platforms!AF94/Platforms!L94</f>
        <v>0</v>
      </c>
      <c r="AU94">
        <v>0</v>
      </c>
      <c r="AV94">
        <f>VLOOKUP('Ballast Calculator'!$D$64,'Drop down Options'!$CF$253:$CI$272,4,FALSE)</f>
        <v>77</v>
      </c>
      <c r="AW94">
        <f>VLOOKUP('Ballast Calculator'!$D$67,'Drop down Options'!$CS$289:$CV$293,4,FALSE)*Platforms!AZ94/Platforms!L94</f>
        <v>-269.93745607870693</v>
      </c>
      <c r="AX94">
        <f>AW94+VLOOKUP('Ballast Calculator'!$D$67,'Drop down Options'!$CS$289:$CV$293,4,FALSE)</f>
        <v>350.06254392129307</v>
      </c>
      <c r="AY94">
        <f>VLOOKUP('Ballast Calculator'!$D$67,'Drop down Options'!$CS$289:$CV$293,4,FALSE)*(Platforms!AZ94+Platforms!L94)/Platforms!L94</f>
        <v>350.06254392129307</v>
      </c>
      <c r="AZ94">
        <f t="shared" si="10"/>
        <v>-1239.1</v>
      </c>
    </row>
    <row r="95" spans="1:52" ht="12.75">
      <c r="A95" s="52" t="str">
        <f t="shared" si="6"/>
        <v>7230Premium2WDAQ+</v>
      </c>
      <c r="B95">
        <v>93</v>
      </c>
      <c r="C95" t="s">
        <v>78</v>
      </c>
      <c r="D95" t="s">
        <v>71</v>
      </c>
      <c r="E95" t="s">
        <v>6</v>
      </c>
      <c r="F95" t="s">
        <v>72</v>
      </c>
      <c r="G95" s="53">
        <v>39870</v>
      </c>
      <c r="H95">
        <v>5400</v>
      </c>
      <c r="I95">
        <v>1039.46875</v>
      </c>
      <c r="J95">
        <v>137</v>
      </c>
      <c r="K95">
        <v>293.7</v>
      </c>
      <c r="L95">
        <v>2846</v>
      </c>
      <c r="M95">
        <v>880</v>
      </c>
      <c r="N95">
        <v>10000</v>
      </c>
      <c r="O95">
        <v>5000</v>
      </c>
      <c r="P95">
        <v>5600</v>
      </c>
      <c r="Q95" s="52">
        <f t="shared" si="7"/>
        <v>1972.2878601546029</v>
      </c>
      <c r="R95" s="52">
        <f t="shared" si="8"/>
        <v>3427.7121398453974</v>
      </c>
      <c r="S95" s="52">
        <f t="shared" si="9"/>
        <v>3427.712139845397</v>
      </c>
      <c r="T95">
        <v>-1239.4</v>
      </c>
      <c r="U95">
        <v>352.6</v>
      </c>
      <c r="V95" s="54">
        <v>1583</v>
      </c>
      <c r="W95" s="54">
        <v>965</v>
      </c>
      <c r="X95" t="s">
        <v>401</v>
      </c>
      <c r="Y95" t="s">
        <v>401</v>
      </c>
      <c r="Z95" t="s">
        <v>401</v>
      </c>
      <c r="AA95" t="s">
        <v>401</v>
      </c>
      <c r="AB95" t="s">
        <v>401</v>
      </c>
      <c r="AC95" t="s">
        <v>401</v>
      </c>
      <c r="AD95" t="s">
        <v>401</v>
      </c>
      <c r="AE95" t="s">
        <v>401</v>
      </c>
      <c r="AF95">
        <f t="shared" si="11"/>
        <v>3656</v>
      </c>
      <c r="AG95">
        <f>VLOOKUP('Ballast Calculator'!$D$67,'Drop down Options'!$CS$289:$CV$293,4,FALSE)*Platforms!T95/Platforms!L95</f>
        <v>-270.0028109627547</v>
      </c>
      <c r="AH95">
        <f>VLOOKUP('Ballast Calculator'!$D$67,'Drop down Options'!$CS$289:$CV$293,4,FALSE)+(VLOOKUP('Ballast Calculator'!$D$67,'Drop down Options'!$CS$289:$CV$293,4,FALSE)*T95)/L95</f>
        <v>349.9971890372453</v>
      </c>
      <c r="AI95">
        <f>VLOOKUP('Ballast Calculator'!$D$67,'Drop down Options'!$CS$289:$CV$293,4,FALSE)*(Platforms!L95+Platforms!T95)/Platforms!L95</f>
        <v>349.9971890372453</v>
      </c>
      <c r="AJ95">
        <v>-942.7</v>
      </c>
      <c r="AK95">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95">
        <f>IF(VLOOKUP('Ballast Calculator'!$D$50,'Drop down Options'!$AN$202:$AQ$210,4,FALSE)="",0,Platforms!AK95)</f>
        <v>2494.5318654318653</v>
      </c>
      <c r="AM95">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95">
        <f>IF(VLOOKUP('Ballast Calculator'!$D$50,'Drop down Options'!$AN$202:$AQ$210,4,FALSE)="",0,Platforms!AM95)</f>
        <v>-1106.2318654318653</v>
      </c>
      <c r="AO95">
        <f>VLOOKUP('Ballast Calculator'!$D$54,'Drop down Options'!$CN$277:$CR$280,5,FALSE)*Platforms!AJ95/Platforms!L95</f>
        <v>0</v>
      </c>
      <c r="AP95" s="167">
        <f>VLOOKUP('Ballast Calculator'!$D$54,'Drop down Options'!$CN$277:$CR$280,5,FALSE)+VLOOKUP('Ballast Calculator'!$D$54,'Drop down Options'!$CN$277:$CR$280,5,FALSE)*Platforms!AJ95/Platforms!L95</f>
        <v>0</v>
      </c>
      <c r="AQ95" s="167">
        <f>VLOOKUP('Ballast Calculator'!$D$54,'Drop down Options'!$CN$277:$CR$280,5,FALSE)*(Platforms!AJ95+Platforms!L95)/Platforms!L95</f>
        <v>0</v>
      </c>
      <c r="AR95">
        <f>VLOOKUP('Ballast Calculator'!$D$61,'Drop down Options'!$BW$215:$BZ$248,4,FALSE)*(Platforms!L95+Platforms!AF95)/Platforms!L95</f>
        <v>0</v>
      </c>
      <c r="AS95" s="167">
        <f>-AR95+VLOOKUP('Ballast Calculator'!$D$61,'Drop down Options'!$BW$215:$BZ$248,4,FALSE)</f>
        <v>0</v>
      </c>
      <c r="AT95" s="167">
        <f>-VLOOKUP('Ballast Calculator'!$D$61,'Drop down Options'!$BW$215:$BZ$248,4,FALSE)*Platforms!AF95/Platforms!L95</f>
        <v>0</v>
      </c>
      <c r="AU95">
        <v>0</v>
      </c>
      <c r="AV95">
        <f>VLOOKUP('Ballast Calculator'!$D$64,'Drop down Options'!$CF$253:$CI$272,4,FALSE)</f>
        <v>77</v>
      </c>
      <c r="AW95">
        <f>VLOOKUP('Ballast Calculator'!$D$67,'Drop down Options'!$CS$289:$CV$293,4,FALSE)*Platforms!AZ95/Platforms!L95</f>
        <v>-269.93745607870693</v>
      </c>
      <c r="AX95">
        <f>AW95+VLOOKUP('Ballast Calculator'!$D$67,'Drop down Options'!$CS$289:$CV$293,4,FALSE)</f>
        <v>350.06254392129307</v>
      </c>
      <c r="AY95">
        <f>VLOOKUP('Ballast Calculator'!$D$67,'Drop down Options'!$CS$289:$CV$293,4,FALSE)*(Platforms!AZ95+Platforms!L95)/Platforms!L95</f>
        <v>350.06254392129307</v>
      </c>
      <c r="AZ95">
        <f t="shared" si="10"/>
        <v>-1239.1</v>
      </c>
    </row>
    <row r="96" spans="1:52" ht="12.75">
      <c r="A96" s="52" t="str">
        <f t="shared" si="6"/>
        <v>7230Premium2WDIVT</v>
      </c>
      <c r="B96">
        <v>94</v>
      </c>
      <c r="C96" t="s">
        <v>78</v>
      </c>
      <c r="D96" t="s">
        <v>71</v>
      </c>
      <c r="E96" t="s">
        <v>6</v>
      </c>
      <c r="F96" t="s">
        <v>75</v>
      </c>
      <c r="G96" s="53">
        <v>39870</v>
      </c>
      <c r="H96">
        <v>5400</v>
      </c>
      <c r="I96">
        <v>1039.46875</v>
      </c>
      <c r="J96">
        <v>137</v>
      </c>
      <c r="K96">
        <v>293.7</v>
      </c>
      <c r="L96">
        <v>2846</v>
      </c>
      <c r="M96">
        <v>880</v>
      </c>
      <c r="N96">
        <v>10000</v>
      </c>
      <c r="O96">
        <v>5000</v>
      </c>
      <c r="P96">
        <v>5600</v>
      </c>
      <c r="Q96" s="52">
        <f t="shared" si="7"/>
        <v>1972.2878601546029</v>
      </c>
      <c r="R96" s="52">
        <f t="shared" si="8"/>
        <v>3427.7121398453974</v>
      </c>
      <c r="S96" s="52">
        <f t="shared" si="9"/>
        <v>3427.712139845397</v>
      </c>
      <c r="T96">
        <v>-1239.4</v>
      </c>
      <c r="U96">
        <v>352.6</v>
      </c>
      <c r="V96" s="54">
        <v>1583</v>
      </c>
      <c r="W96" s="54">
        <v>965</v>
      </c>
      <c r="X96" t="s">
        <v>401</v>
      </c>
      <c r="Y96" t="s">
        <v>401</v>
      </c>
      <c r="Z96" t="s">
        <v>401</v>
      </c>
      <c r="AA96" t="s">
        <v>401</v>
      </c>
      <c r="AB96" t="s">
        <v>401</v>
      </c>
      <c r="AC96" t="s">
        <v>401</v>
      </c>
      <c r="AD96" t="s">
        <v>401</v>
      </c>
      <c r="AE96" t="s">
        <v>401</v>
      </c>
      <c r="AF96">
        <f t="shared" si="11"/>
        <v>3656</v>
      </c>
      <c r="AG96">
        <f>VLOOKUP('Ballast Calculator'!$D$67,'Drop down Options'!$CS$289:$CV$293,4,FALSE)*Platforms!T96/Platforms!L96</f>
        <v>-270.0028109627547</v>
      </c>
      <c r="AH96">
        <f>VLOOKUP('Ballast Calculator'!$D$67,'Drop down Options'!$CS$289:$CV$293,4,FALSE)+(VLOOKUP('Ballast Calculator'!$D$67,'Drop down Options'!$CS$289:$CV$293,4,FALSE)*T96)/L96</f>
        <v>349.9971890372453</v>
      </c>
      <c r="AI96">
        <f>VLOOKUP('Ballast Calculator'!$D$67,'Drop down Options'!$CS$289:$CV$293,4,FALSE)*(Platforms!L96+Platforms!T96)/Platforms!L96</f>
        <v>349.9971890372453</v>
      </c>
      <c r="AJ96">
        <v>-942.7</v>
      </c>
      <c r="AK96">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96">
        <f>IF(VLOOKUP('Ballast Calculator'!$D$50,'Drop down Options'!$AN$202:$AQ$210,4,FALSE)="",0,Platforms!AK96)</f>
        <v>2494.5318654318653</v>
      </c>
      <c r="AM96">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96">
        <f>IF(VLOOKUP('Ballast Calculator'!$D$50,'Drop down Options'!$AN$202:$AQ$210,4,FALSE)="",0,Platforms!AM96)</f>
        <v>-1106.2318654318653</v>
      </c>
      <c r="AO96">
        <f>VLOOKUP('Ballast Calculator'!$D$54,'Drop down Options'!$CN$277:$CR$280,5,FALSE)*Platforms!AJ96/Platforms!L96</f>
        <v>0</v>
      </c>
      <c r="AP96" s="167">
        <f>VLOOKUP('Ballast Calculator'!$D$54,'Drop down Options'!$CN$277:$CR$280,5,FALSE)+VLOOKUP('Ballast Calculator'!$D$54,'Drop down Options'!$CN$277:$CR$280,5,FALSE)*Platforms!AJ96/Platforms!L96</f>
        <v>0</v>
      </c>
      <c r="AQ96" s="167">
        <f>VLOOKUP('Ballast Calculator'!$D$54,'Drop down Options'!$CN$277:$CR$280,5,FALSE)*(Platforms!AJ96+Platforms!L96)/Platforms!L96</f>
        <v>0</v>
      </c>
      <c r="AR96">
        <f>VLOOKUP('Ballast Calculator'!$D$61,'Drop down Options'!$BW$215:$BZ$248,4,FALSE)*(Platforms!L96+Platforms!AF96)/Platforms!L96</f>
        <v>0</v>
      </c>
      <c r="AS96" s="167">
        <f>-AR96+VLOOKUP('Ballast Calculator'!$D$61,'Drop down Options'!$BW$215:$BZ$248,4,FALSE)</f>
        <v>0</v>
      </c>
      <c r="AT96" s="167">
        <f>-VLOOKUP('Ballast Calculator'!$D$61,'Drop down Options'!$BW$215:$BZ$248,4,FALSE)*Platforms!AF96/Platforms!L96</f>
        <v>0</v>
      </c>
      <c r="AU96">
        <v>0</v>
      </c>
      <c r="AV96">
        <f>VLOOKUP('Ballast Calculator'!$D$64,'Drop down Options'!$CF$253:$CI$272,4,FALSE)</f>
        <v>77</v>
      </c>
      <c r="AW96">
        <f>VLOOKUP('Ballast Calculator'!$D$67,'Drop down Options'!$CS$289:$CV$293,4,FALSE)*Platforms!AZ96/Platforms!L96</f>
        <v>-269.93745607870693</v>
      </c>
      <c r="AX96">
        <f>AW96+VLOOKUP('Ballast Calculator'!$D$67,'Drop down Options'!$CS$289:$CV$293,4,FALSE)</f>
        <v>350.06254392129307</v>
      </c>
      <c r="AY96">
        <f>VLOOKUP('Ballast Calculator'!$D$67,'Drop down Options'!$CS$289:$CV$293,4,FALSE)*(Platforms!AZ96+Platforms!L96)/Platforms!L96</f>
        <v>350.06254392129307</v>
      </c>
      <c r="AZ96">
        <f t="shared" si="10"/>
        <v>-1239.1</v>
      </c>
    </row>
    <row r="97" spans="1:52" ht="12.75">
      <c r="A97" s="52" t="str">
        <f t="shared" si="6"/>
        <v>7230CABMFWDS+</v>
      </c>
      <c r="B97">
        <v>95</v>
      </c>
      <c r="C97" t="s">
        <v>78</v>
      </c>
      <c r="D97" t="s">
        <v>60</v>
      </c>
      <c r="E97" t="s">
        <v>64</v>
      </c>
      <c r="F97" t="s">
        <v>68</v>
      </c>
      <c r="G97" s="53">
        <v>39870</v>
      </c>
      <c r="H97">
        <v>4800</v>
      </c>
      <c r="I97" s="54">
        <v>1129</v>
      </c>
      <c r="J97" s="54">
        <v>137</v>
      </c>
      <c r="K97">
        <v>400</v>
      </c>
      <c r="L97">
        <v>2645.5</v>
      </c>
      <c r="M97">
        <v>880</v>
      </c>
      <c r="N97">
        <v>10000</v>
      </c>
      <c r="O97">
        <v>6580</v>
      </c>
      <c r="P97">
        <v>7000</v>
      </c>
      <c r="Q97" s="52">
        <f t="shared" si="7"/>
        <v>2048.4596484596486</v>
      </c>
      <c r="R97" s="52">
        <f t="shared" si="8"/>
        <v>2751.5403515403514</v>
      </c>
      <c r="S97" s="52">
        <f t="shared" si="9"/>
        <v>2751.5403515403514</v>
      </c>
      <c r="T97">
        <v>-1239.4</v>
      </c>
      <c r="U97">
        <v>352.6</v>
      </c>
      <c r="V97" s="54">
        <v>1583</v>
      </c>
      <c r="W97" s="54">
        <v>965</v>
      </c>
      <c r="Z97" t="s">
        <v>401</v>
      </c>
      <c r="AA97" t="s">
        <v>401</v>
      </c>
      <c r="AB97" t="s">
        <v>401</v>
      </c>
      <c r="AC97" t="s">
        <v>401</v>
      </c>
      <c r="AD97" t="s">
        <v>401</v>
      </c>
      <c r="AE97" t="s">
        <v>401</v>
      </c>
      <c r="AF97">
        <f t="shared" si="11"/>
        <v>3656</v>
      </c>
      <c r="AG97">
        <f>VLOOKUP('Ballast Calculator'!$D$67,'Drop down Options'!$CS$289:$CV$293,4,FALSE)*Platforms!T97/Platforms!L97</f>
        <v>-290.4660744660745</v>
      </c>
      <c r="AH97">
        <f>VLOOKUP('Ballast Calculator'!$D$67,'Drop down Options'!$CS$289:$CV$293,4,FALSE)+(VLOOKUP('Ballast Calculator'!$D$67,'Drop down Options'!$CS$289:$CV$293,4,FALSE)*T97)/L97</f>
        <v>329.5339255339255</v>
      </c>
      <c r="AI97">
        <f>VLOOKUP('Ballast Calculator'!$D$67,'Drop down Options'!$CS$289:$CV$293,4,FALSE)*(Platforms!L97+Platforms!T97)/Platforms!L97</f>
        <v>329.5339255339255</v>
      </c>
      <c r="AJ97">
        <v>-942.7</v>
      </c>
      <c r="AK97">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97">
        <f>IF(VLOOKUP('Ballast Calculator'!$D$50,'Drop down Options'!$AN$202:$AQ$210,4,FALSE)="",0,Platforms!AK97)</f>
        <v>2494.5318654318653</v>
      </c>
      <c r="AM97">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97">
        <f>IF(VLOOKUP('Ballast Calculator'!$D$50,'Drop down Options'!$AN$202:$AQ$210,4,FALSE)="",0,Platforms!AM97)</f>
        <v>-1106.2318654318653</v>
      </c>
      <c r="AO97">
        <f>VLOOKUP('Ballast Calculator'!$D$54,'Drop down Options'!$CN$277:$CR$280,5,FALSE)*Platforms!AJ97/Platforms!L97</f>
        <v>0</v>
      </c>
      <c r="AP97" s="167">
        <f>VLOOKUP('Ballast Calculator'!$D$54,'Drop down Options'!$CN$277:$CR$280,5,FALSE)+VLOOKUP('Ballast Calculator'!$D$54,'Drop down Options'!$CN$277:$CR$280,5,FALSE)*Platforms!AJ97/Platforms!L97</f>
        <v>0</v>
      </c>
      <c r="AQ97" s="167">
        <f>VLOOKUP('Ballast Calculator'!$D$54,'Drop down Options'!$CN$277:$CR$280,5,FALSE)*(Platforms!AJ97+Platforms!L97)/Platforms!L97</f>
        <v>0</v>
      </c>
      <c r="AR97">
        <f>VLOOKUP('Ballast Calculator'!$D$61,'Drop down Options'!$BW$215:$BZ$248,4,FALSE)*(Platforms!L97+Platforms!AF97)/Platforms!L97</f>
        <v>0</v>
      </c>
      <c r="AS97" s="167">
        <f>-AR97+VLOOKUP('Ballast Calculator'!$D$61,'Drop down Options'!$BW$215:$BZ$248,4,FALSE)</f>
        <v>0</v>
      </c>
      <c r="AT97" s="167">
        <f>-VLOOKUP('Ballast Calculator'!$D$61,'Drop down Options'!$BW$215:$BZ$248,4,FALSE)*Platforms!AF97/Platforms!L97</f>
        <v>0</v>
      </c>
      <c r="AU97">
        <v>0</v>
      </c>
      <c r="AV97">
        <f>VLOOKUP('Ballast Calculator'!$D$64,'Drop down Options'!$CF$253:$CI$272,4,FALSE)</f>
        <v>77</v>
      </c>
      <c r="AW97">
        <f>VLOOKUP('Ballast Calculator'!$D$67,'Drop down Options'!$CS$289:$CV$293,4,FALSE)*Platforms!AZ97/Platforms!L97</f>
        <v>-290.3957663957664</v>
      </c>
      <c r="AX97">
        <f>AW97+VLOOKUP('Ballast Calculator'!$D$67,'Drop down Options'!$CS$289:$CV$293,4,FALSE)</f>
        <v>329.6042336042336</v>
      </c>
      <c r="AY97">
        <f>VLOOKUP('Ballast Calculator'!$D$67,'Drop down Options'!$CS$289:$CV$293,4,FALSE)*(Platforms!AZ97+Platforms!L97)/Platforms!L97</f>
        <v>329.6042336042336</v>
      </c>
      <c r="AZ97">
        <f t="shared" si="10"/>
        <v>-1239.1</v>
      </c>
    </row>
    <row r="98" spans="1:52" ht="12.75">
      <c r="A98" s="52" t="str">
        <f t="shared" si="6"/>
        <v>7230CABMFWDPQ+</v>
      </c>
      <c r="B98">
        <v>96</v>
      </c>
      <c r="C98" t="s">
        <v>78</v>
      </c>
      <c r="D98" t="s">
        <v>60</v>
      </c>
      <c r="E98" t="s">
        <v>64</v>
      </c>
      <c r="F98" t="s">
        <v>69</v>
      </c>
      <c r="G98" s="53">
        <v>39870</v>
      </c>
      <c r="H98">
        <v>4800</v>
      </c>
      <c r="I98" s="54">
        <v>1129</v>
      </c>
      <c r="J98" s="54">
        <v>137</v>
      </c>
      <c r="K98">
        <v>400</v>
      </c>
      <c r="L98">
        <v>2645.5</v>
      </c>
      <c r="M98">
        <v>880</v>
      </c>
      <c r="N98">
        <v>10000</v>
      </c>
      <c r="O98">
        <v>6580</v>
      </c>
      <c r="P98">
        <v>7000</v>
      </c>
      <c r="Q98" s="52">
        <f t="shared" si="7"/>
        <v>2048.4596484596486</v>
      </c>
      <c r="R98" s="52">
        <f t="shared" si="8"/>
        <v>2751.5403515403514</v>
      </c>
      <c r="S98" s="52">
        <f t="shared" si="9"/>
        <v>2751.5403515403514</v>
      </c>
      <c r="T98">
        <v>-1239.4</v>
      </c>
      <c r="U98">
        <v>352.6</v>
      </c>
      <c r="V98" s="54">
        <v>1583</v>
      </c>
      <c r="W98" s="54">
        <v>965</v>
      </c>
      <c r="Z98" t="s">
        <v>401</v>
      </c>
      <c r="AA98" t="s">
        <v>401</v>
      </c>
      <c r="AB98" t="s">
        <v>401</v>
      </c>
      <c r="AC98" t="s">
        <v>401</v>
      </c>
      <c r="AD98" t="s">
        <v>401</v>
      </c>
      <c r="AE98" t="s">
        <v>401</v>
      </c>
      <c r="AF98">
        <f t="shared" si="11"/>
        <v>3656</v>
      </c>
      <c r="AG98">
        <f>VLOOKUP('Ballast Calculator'!$D$67,'Drop down Options'!$CS$289:$CV$293,4,FALSE)*Platforms!T98/Platforms!L98</f>
        <v>-290.4660744660745</v>
      </c>
      <c r="AH98">
        <f>VLOOKUP('Ballast Calculator'!$D$67,'Drop down Options'!$CS$289:$CV$293,4,FALSE)+(VLOOKUP('Ballast Calculator'!$D$67,'Drop down Options'!$CS$289:$CV$293,4,FALSE)*T98)/L98</f>
        <v>329.5339255339255</v>
      </c>
      <c r="AI98">
        <f>VLOOKUP('Ballast Calculator'!$D$67,'Drop down Options'!$CS$289:$CV$293,4,FALSE)*(Platforms!L98+Platforms!T98)/Platforms!L98</f>
        <v>329.5339255339255</v>
      </c>
      <c r="AJ98">
        <v>-942.7</v>
      </c>
      <c r="AK98">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98">
        <f>IF(VLOOKUP('Ballast Calculator'!$D$50,'Drop down Options'!$AN$202:$AQ$210,4,FALSE)="",0,Platforms!AK98)</f>
        <v>2494.5318654318653</v>
      </c>
      <c r="AM98">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98">
        <f>IF(VLOOKUP('Ballast Calculator'!$D$50,'Drop down Options'!$AN$202:$AQ$210,4,FALSE)="",0,Platforms!AM98)</f>
        <v>-1106.2318654318653</v>
      </c>
      <c r="AO98">
        <f>VLOOKUP('Ballast Calculator'!$D$54,'Drop down Options'!$CN$277:$CR$280,5,FALSE)*Platforms!AJ98/Platforms!L98</f>
        <v>0</v>
      </c>
      <c r="AP98" s="167">
        <f>VLOOKUP('Ballast Calculator'!$D$54,'Drop down Options'!$CN$277:$CR$280,5,FALSE)+VLOOKUP('Ballast Calculator'!$D$54,'Drop down Options'!$CN$277:$CR$280,5,FALSE)*Platforms!AJ98/Platforms!L98</f>
        <v>0</v>
      </c>
      <c r="AQ98" s="167">
        <f>VLOOKUP('Ballast Calculator'!$D$54,'Drop down Options'!$CN$277:$CR$280,5,FALSE)*(Platforms!AJ98+Platforms!L98)/Platforms!L98</f>
        <v>0</v>
      </c>
      <c r="AR98">
        <f>VLOOKUP('Ballast Calculator'!$D$61,'Drop down Options'!$BW$215:$BZ$248,4,FALSE)*(Platforms!L98+Platforms!AF98)/Platforms!L98</f>
        <v>0</v>
      </c>
      <c r="AS98" s="167">
        <f>-AR98+VLOOKUP('Ballast Calculator'!$D$61,'Drop down Options'!$BW$215:$BZ$248,4,FALSE)</f>
        <v>0</v>
      </c>
      <c r="AT98" s="167">
        <f>-VLOOKUP('Ballast Calculator'!$D$61,'Drop down Options'!$BW$215:$BZ$248,4,FALSE)*Platforms!AF98/Platforms!L98</f>
        <v>0</v>
      </c>
      <c r="AU98">
        <v>0</v>
      </c>
      <c r="AV98">
        <f>VLOOKUP('Ballast Calculator'!$D$64,'Drop down Options'!$CF$253:$CI$272,4,FALSE)</f>
        <v>77</v>
      </c>
      <c r="AW98">
        <f>VLOOKUP('Ballast Calculator'!$D$67,'Drop down Options'!$CS$289:$CV$293,4,FALSE)*Platforms!AZ98/Platforms!L98</f>
        <v>-290.3957663957664</v>
      </c>
      <c r="AX98">
        <f>AW98+VLOOKUP('Ballast Calculator'!$D$67,'Drop down Options'!$CS$289:$CV$293,4,FALSE)</f>
        <v>329.6042336042336</v>
      </c>
      <c r="AY98">
        <f>VLOOKUP('Ballast Calculator'!$D$67,'Drop down Options'!$CS$289:$CV$293,4,FALSE)*(Platforms!AZ98+Platforms!L98)/Platforms!L98</f>
        <v>329.6042336042336</v>
      </c>
      <c r="AZ98">
        <f t="shared" si="10"/>
        <v>-1239.1</v>
      </c>
    </row>
    <row r="99" spans="1:52" ht="12.75">
      <c r="A99" s="52" t="str">
        <f aca="true" t="shared" si="12" ref="A99:A133">CONCATENATE(C99,D99,E99,F99)</f>
        <v>7230OOSMFWDS+</v>
      </c>
      <c r="B99">
        <v>97</v>
      </c>
      <c r="C99" t="s">
        <v>78</v>
      </c>
      <c r="D99" t="s">
        <v>63</v>
      </c>
      <c r="E99" t="s">
        <v>64</v>
      </c>
      <c r="F99" s="54" t="s">
        <v>68</v>
      </c>
      <c r="G99" s="53">
        <v>39870</v>
      </c>
      <c r="H99">
        <v>4400</v>
      </c>
      <c r="I99" s="54">
        <v>1129</v>
      </c>
      <c r="J99" s="54">
        <v>137</v>
      </c>
      <c r="K99">
        <v>400</v>
      </c>
      <c r="L99">
        <v>2645.5</v>
      </c>
      <c r="M99">
        <v>880</v>
      </c>
      <c r="N99">
        <v>10000</v>
      </c>
      <c r="O99">
        <v>6580</v>
      </c>
      <c r="P99">
        <v>7000</v>
      </c>
      <c r="Q99" s="52">
        <f t="shared" si="7"/>
        <v>1877.7546777546777</v>
      </c>
      <c r="R99" s="52">
        <f t="shared" si="8"/>
        <v>2522.2453222453223</v>
      </c>
      <c r="S99" s="52">
        <f t="shared" si="9"/>
        <v>2522.2453222453223</v>
      </c>
      <c r="T99">
        <v>-1239.4</v>
      </c>
      <c r="U99">
        <v>352.6</v>
      </c>
      <c r="V99" s="54">
        <v>1583</v>
      </c>
      <c r="W99" s="54">
        <v>965</v>
      </c>
      <c r="Z99" t="s">
        <v>401</v>
      </c>
      <c r="AA99" t="s">
        <v>401</v>
      </c>
      <c r="AB99" t="s">
        <v>401</v>
      </c>
      <c r="AC99" t="s">
        <v>401</v>
      </c>
      <c r="AD99" t="s">
        <v>401</v>
      </c>
      <c r="AE99" t="s">
        <v>401</v>
      </c>
      <c r="AF99">
        <f t="shared" si="11"/>
        <v>3656</v>
      </c>
      <c r="AG99">
        <f>VLOOKUP('Ballast Calculator'!$D$67,'Drop down Options'!$CS$289:$CV$293,4,FALSE)*Platforms!T99/Platforms!L99</f>
        <v>-290.4660744660745</v>
      </c>
      <c r="AH99">
        <f>VLOOKUP('Ballast Calculator'!$D$67,'Drop down Options'!$CS$289:$CV$293,4,FALSE)+(VLOOKUP('Ballast Calculator'!$D$67,'Drop down Options'!$CS$289:$CV$293,4,FALSE)*T99)/L99</f>
        <v>329.5339255339255</v>
      </c>
      <c r="AI99">
        <f>VLOOKUP('Ballast Calculator'!$D$67,'Drop down Options'!$CS$289:$CV$293,4,FALSE)*(Platforms!L99+Platforms!T99)/Platforms!L99</f>
        <v>329.5339255339255</v>
      </c>
      <c r="AJ99">
        <v>-942.7</v>
      </c>
      <c r="AK99">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99">
        <f>IF(VLOOKUP('Ballast Calculator'!$D$50,'Drop down Options'!$AN$202:$AQ$210,4,FALSE)="",0,Platforms!AK99)</f>
        <v>2494.5318654318653</v>
      </c>
      <c r="AM99">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99">
        <f>IF(VLOOKUP('Ballast Calculator'!$D$50,'Drop down Options'!$AN$202:$AQ$210,4,FALSE)="",0,Platforms!AM99)</f>
        <v>-1106.2318654318653</v>
      </c>
      <c r="AO99">
        <f>VLOOKUP('Ballast Calculator'!$D$54,'Drop down Options'!$CN$277:$CR$280,5,FALSE)*Platforms!AJ99/Platforms!L99</f>
        <v>0</v>
      </c>
      <c r="AP99" s="167">
        <f>VLOOKUP('Ballast Calculator'!$D$54,'Drop down Options'!$CN$277:$CR$280,5,FALSE)+VLOOKUP('Ballast Calculator'!$D$54,'Drop down Options'!$CN$277:$CR$280,5,FALSE)*Platforms!AJ99/Platforms!L99</f>
        <v>0</v>
      </c>
      <c r="AQ99" s="167">
        <f>VLOOKUP('Ballast Calculator'!$D$54,'Drop down Options'!$CN$277:$CR$280,5,FALSE)*(Platforms!AJ99+Platforms!L99)/Platforms!L99</f>
        <v>0</v>
      </c>
      <c r="AR99">
        <f>VLOOKUP('Ballast Calculator'!$D$61,'Drop down Options'!$BW$215:$BZ$248,4,FALSE)*(Platforms!L99+Platforms!AF99)/Platforms!L99</f>
        <v>0</v>
      </c>
      <c r="AS99" s="167">
        <f>-AR99+VLOOKUP('Ballast Calculator'!$D$61,'Drop down Options'!$BW$215:$BZ$248,4,FALSE)</f>
        <v>0</v>
      </c>
      <c r="AT99" s="167">
        <f>-VLOOKUP('Ballast Calculator'!$D$61,'Drop down Options'!$BW$215:$BZ$248,4,FALSE)*Platforms!AF99/Platforms!L99</f>
        <v>0</v>
      </c>
      <c r="AU99">
        <v>0</v>
      </c>
      <c r="AV99">
        <f>VLOOKUP('Ballast Calculator'!$D$64,'Drop down Options'!$CF$253:$CI$272,4,FALSE)</f>
        <v>77</v>
      </c>
      <c r="AW99">
        <f>VLOOKUP('Ballast Calculator'!$D$67,'Drop down Options'!$CS$289:$CV$293,4,FALSE)*Platforms!AZ99/Platforms!L99</f>
        <v>-290.3957663957664</v>
      </c>
      <c r="AX99">
        <f>AW99+VLOOKUP('Ballast Calculator'!$D$67,'Drop down Options'!$CS$289:$CV$293,4,FALSE)</f>
        <v>329.6042336042336</v>
      </c>
      <c r="AY99">
        <f>VLOOKUP('Ballast Calculator'!$D$67,'Drop down Options'!$CS$289:$CV$293,4,FALSE)*(Platforms!AZ99+Platforms!L99)/Platforms!L99</f>
        <v>329.6042336042336</v>
      </c>
      <c r="AZ99">
        <f t="shared" si="10"/>
        <v>-1239.1</v>
      </c>
    </row>
    <row r="100" spans="1:52" ht="12.75">
      <c r="A100" s="52" t="str">
        <f t="shared" si="12"/>
        <v>7230OOSMFWDPQ</v>
      </c>
      <c r="B100">
        <v>98</v>
      </c>
      <c r="C100" t="s">
        <v>78</v>
      </c>
      <c r="D100" t="s">
        <v>63</v>
      </c>
      <c r="E100" t="s">
        <v>64</v>
      </c>
      <c r="F100" s="54" t="s">
        <v>70</v>
      </c>
      <c r="G100" s="53">
        <v>39870</v>
      </c>
      <c r="H100">
        <v>4400</v>
      </c>
      <c r="I100" s="54">
        <v>1129</v>
      </c>
      <c r="J100" s="54">
        <v>137</v>
      </c>
      <c r="K100">
        <v>400</v>
      </c>
      <c r="L100">
        <v>2645.5</v>
      </c>
      <c r="M100">
        <v>880</v>
      </c>
      <c r="N100">
        <v>10000</v>
      </c>
      <c r="O100">
        <v>6580</v>
      </c>
      <c r="P100">
        <v>7000</v>
      </c>
      <c r="Q100" s="52">
        <f t="shared" si="7"/>
        <v>1877.7546777546777</v>
      </c>
      <c r="R100" s="52">
        <f t="shared" si="8"/>
        <v>2522.2453222453223</v>
      </c>
      <c r="S100" s="52">
        <f t="shared" si="9"/>
        <v>2522.2453222453223</v>
      </c>
      <c r="T100">
        <v>-1239.4</v>
      </c>
      <c r="U100">
        <v>352.6</v>
      </c>
      <c r="V100" s="54">
        <v>1583</v>
      </c>
      <c r="W100" s="54">
        <v>965</v>
      </c>
      <c r="Z100" t="s">
        <v>401</v>
      </c>
      <c r="AA100" t="s">
        <v>401</v>
      </c>
      <c r="AB100" t="s">
        <v>401</v>
      </c>
      <c r="AC100" t="s">
        <v>401</v>
      </c>
      <c r="AD100" t="s">
        <v>401</v>
      </c>
      <c r="AE100" t="s">
        <v>401</v>
      </c>
      <c r="AF100">
        <f t="shared" si="11"/>
        <v>3656</v>
      </c>
      <c r="AG100">
        <f>VLOOKUP('Ballast Calculator'!$D$67,'Drop down Options'!$CS$289:$CV$293,4,FALSE)*Platforms!T100/Platforms!L100</f>
        <v>-290.4660744660745</v>
      </c>
      <c r="AH100">
        <f>VLOOKUP('Ballast Calculator'!$D$67,'Drop down Options'!$CS$289:$CV$293,4,FALSE)+(VLOOKUP('Ballast Calculator'!$D$67,'Drop down Options'!$CS$289:$CV$293,4,FALSE)*T100)/L100</f>
        <v>329.5339255339255</v>
      </c>
      <c r="AI100">
        <f>VLOOKUP('Ballast Calculator'!$D$67,'Drop down Options'!$CS$289:$CV$293,4,FALSE)*(Platforms!L100+Platforms!T100)/Platforms!L100</f>
        <v>329.5339255339255</v>
      </c>
      <c r="AJ100">
        <v>-942.7</v>
      </c>
      <c r="AK100">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100">
        <f>IF(VLOOKUP('Ballast Calculator'!$D$50,'Drop down Options'!$AN$202:$AQ$210,4,FALSE)="",0,Platforms!AK100)</f>
        <v>2494.5318654318653</v>
      </c>
      <c r="AM100">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100">
        <f>IF(VLOOKUP('Ballast Calculator'!$D$50,'Drop down Options'!$AN$202:$AQ$210,4,FALSE)="",0,Platforms!AM100)</f>
        <v>-1106.2318654318653</v>
      </c>
      <c r="AO100">
        <f>VLOOKUP('Ballast Calculator'!$D$54,'Drop down Options'!$CN$277:$CR$280,5,FALSE)*Platforms!AJ100/Platforms!L100</f>
        <v>0</v>
      </c>
      <c r="AP100" s="167">
        <f>VLOOKUP('Ballast Calculator'!$D$54,'Drop down Options'!$CN$277:$CR$280,5,FALSE)+VLOOKUP('Ballast Calculator'!$D$54,'Drop down Options'!$CN$277:$CR$280,5,FALSE)*Platforms!AJ100/Platforms!L100</f>
        <v>0</v>
      </c>
      <c r="AQ100" s="167">
        <f>VLOOKUP('Ballast Calculator'!$D$54,'Drop down Options'!$CN$277:$CR$280,5,FALSE)*(Platforms!AJ100+Platforms!L100)/Platforms!L100</f>
        <v>0</v>
      </c>
      <c r="AR100">
        <f>VLOOKUP('Ballast Calculator'!$D$61,'Drop down Options'!$BW$215:$BZ$248,4,FALSE)*(Platforms!L100+Platforms!AF100)/Platforms!L100</f>
        <v>0</v>
      </c>
      <c r="AS100" s="167">
        <f>-AR100+VLOOKUP('Ballast Calculator'!$D$61,'Drop down Options'!$BW$215:$BZ$248,4,FALSE)</f>
        <v>0</v>
      </c>
      <c r="AT100" s="167">
        <f>-VLOOKUP('Ballast Calculator'!$D$61,'Drop down Options'!$BW$215:$BZ$248,4,FALSE)*Platforms!AF100/Platforms!L100</f>
        <v>0</v>
      </c>
      <c r="AU100">
        <v>0</v>
      </c>
      <c r="AV100">
        <f>VLOOKUP('Ballast Calculator'!$D$64,'Drop down Options'!$CF$253:$CI$272,4,FALSE)</f>
        <v>77</v>
      </c>
      <c r="AW100">
        <f>VLOOKUP('Ballast Calculator'!$D$67,'Drop down Options'!$CS$289:$CV$293,4,FALSE)*Platforms!AZ100/Platforms!L100</f>
        <v>-290.3957663957664</v>
      </c>
      <c r="AX100">
        <f>AW100+VLOOKUP('Ballast Calculator'!$D$67,'Drop down Options'!$CS$289:$CV$293,4,FALSE)</f>
        <v>329.6042336042336</v>
      </c>
      <c r="AY100">
        <f>VLOOKUP('Ballast Calculator'!$D$67,'Drop down Options'!$CS$289:$CV$293,4,FALSE)*(Platforms!AZ100+Platforms!L100)/Platforms!L100</f>
        <v>329.6042336042336</v>
      </c>
      <c r="AZ100">
        <f>AJ100-296.4</f>
        <v>-1239.1</v>
      </c>
    </row>
    <row r="101" spans="1:52" ht="12.75">
      <c r="A101" s="52" t="str">
        <f t="shared" si="12"/>
        <v>7230PremiumMFWDPQ+</v>
      </c>
      <c r="B101">
        <v>99</v>
      </c>
      <c r="C101" t="s">
        <v>78</v>
      </c>
      <c r="D101" t="s">
        <v>71</v>
      </c>
      <c r="E101" t="s">
        <v>64</v>
      </c>
      <c r="F101" t="s">
        <v>69</v>
      </c>
      <c r="G101" s="53">
        <v>39870</v>
      </c>
      <c r="H101">
        <v>5400</v>
      </c>
      <c r="I101" s="54">
        <v>1129</v>
      </c>
      <c r="J101" s="54">
        <v>137</v>
      </c>
      <c r="K101">
        <v>400</v>
      </c>
      <c r="L101">
        <v>2645.5</v>
      </c>
      <c r="M101">
        <v>880</v>
      </c>
      <c r="N101">
        <v>10000</v>
      </c>
      <c r="O101">
        <v>6580</v>
      </c>
      <c r="P101">
        <v>7000</v>
      </c>
      <c r="Q101" s="52">
        <f t="shared" si="7"/>
        <v>2304.5171045171046</v>
      </c>
      <c r="R101" s="52">
        <f t="shared" si="8"/>
        <v>3095.4828954828954</v>
      </c>
      <c r="S101" s="52">
        <f t="shared" si="9"/>
        <v>3095.4828954828954</v>
      </c>
      <c r="T101">
        <v>-1239.4</v>
      </c>
      <c r="U101">
        <v>352.6</v>
      </c>
      <c r="V101" s="54">
        <v>1583</v>
      </c>
      <c r="W101" s="54">
        <v>965</v>
      </c>
      <c r="Z101" t="s">
        <v>401</v>
      </c>
      <c r="AA101" t="s">
        <v>401</v>
      </c>
      <c r="AB101" t="s">
        <v>401</v>
      </c>
      <c r="AC101" t="s">
        <v>401</v>
      </c>
      <c r="AD101" t="s">
        <v>401</v>
      </c>
      <c r="AE101" t="s">
        <v>401</v>
      </c>
      <c r="AF101">
        <f t="shared" si="11"/>
        <v>3656</v>
      </c>
      <c r="AG101">
        <f>VLOOKUP('Ballast Calculator'!$D$67,'Drop down Options'!$CS$289:$CV$293,4,FALSE)*Platforms!T101/Platforms!L101</f>
        <v>-290.4660744660745</v>
      </c>
      <c r="AH101">
        <f>VLOOKUP('Ballast Calculator'!$D$67,'Drop down Options'!$CS$289:$CV$293,4,FALSE)+(VLOOKUP('Ballast Calculator'!$D$67,'Drop down Options'!$CS$289:$CV$293,4,FALSE)*T101)/L101</f>
        <v>329.5339255339255</v>
      </c>
      <c r="AI101">
        <f>VLOOKUP('Ballast Calculator'!$D$67,'Drop down Options'!$CS$289:$CV$293,4,FALSE)*(Platforms!L101+Platforms!T101)/Platforms!L101</f>
        <v>329.5339255339255</v>
      </c>
      <c r="AJ101">
        <v>-942.7</v>
      </c>
      <c r="AK101">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101">
        <f>IF(VLOOKUP('Ballast Calculator'!$D$50,'Drop down Options'!$AN$202:$AQ$210,4,FALSE)="",0,Platforms!AK101)</f>
        <v>2494.5318654318653</v>
      </c>
      <c r="AM101">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101">
        <f>IF(VLOOKUP('Ballast Calculator'!$D$50,'Drop down Options'!$AN$202:$AQ$210,4,FALSE)="",0,Platforms!AM101)</f>
        <v>-1106.2318654318653</v>
      </c>
      <c r="AO101">
        <f>VLOOKUP('Ballast Calculator'!$D$54,'Drop down Options'!$CN$277:$CR$280,5,FALSE)*Platforms!AJ101/Platforms!L101</f>
        <v>0</v>
      </c>
      <c r="AP101" s="167">
        <f>VLOOKUP('Ballast Calculator'!$D$54,'Drop down Options'!$CN$277:$CR$280,5,FALSE)+VLOOKUP('Ballast Calculator'!$D$54,'Drop down Options'!$CN$277:$CR$280,5,FALSE)*Platforms!AJ101/Platforms!L101</f>
        <v>0</v>
      </c>
      <c r="AQ101" s="167">
        <f>VLOOKUP('Ballast Calculator'!$D$54,'Drop down Options'!$CN$277:$CR$280,5,FALSE)*(Platforms!AJ101+Platforms!L101)/Platforms!L101</f>
        <v>0</v>
      </c>
      <c r="AR101">
        <f>VLOOKUP('Ballast Calculator'!$D$61,'Drop down Options'!$BW$215:$BZ$248,4,FALSE)*(Platforms!L101+Platforms!AF101)/Platforms!L101</f>
        <v>0</v>
      </c>
      <c r="AS101" s="167">
        <f>-AR101+VLOOKUP('Ballast Calculator'!$D$61,'Drop down Options'!$BW$215:$BZ$248,4,FALSE)</f>
        <v>0</v>
      </c>
      <c r="AT101" s="167">
        <f>-VLOOKUP('Ballast Calculator'!$D$61,'Drop down Options'!$BW$215:$BZ$248,4,FALSE)*Platforms!AF101/Platforms!L101</f>
        <v>0</v>
      </c>
      <c r="AU101">
        <v>0</v>
      </c>
      <c r="AV101">
        <f>VLOOKUP('Ballast Calculator'!$D$64,'Drop down Options'!$CF$253:$CI$272,4,FALSE)</f>
        <v>77</v>
      </c>
      <c r="AW101">
        <f>VLOOKUP('Ballast Calculator'!$D$67,'Drop down Options'!$CS$289:$CV$293,4,FALSE)*Platforms!AZ101/Platforms!L101</f>
        <v>-290.3957663957664</v>
      </c>
      <c r="AX101">
        <f>AW101+VLOOKUP('Ballast Calculator'!$D$67,'Drop down Options'!$CS$289:$CV$293,4,FALSE)</f>
        <v>329.6042336042336</v>
      </c>
      <c r="AY101">
        <f>VLOOKUP('Ballast Calculator'!$D$67,'Drop down Options'!$CS$289:$CV$293,4,FALSE)*(Platforms!AZ101+Platforms!L101)/Platforms!L101</f>
        <v>329.6042336042336</v>
      </c>
      <c r="AZ101">
        <f aca="true" t="shared" si="13" ref="AZ101:AZ133">AJ101-296.4</f>
        <v>-1239.1</v>
      </c>
    </row>
    <row r="102" spans="1:52" ht="12.75">
      <c r="A102" s="52" t="str">
        <f t="shared" si="12"/>
        <v>7230PremiumMFWDAQ+</v>
      </c>
      <c r="B102">
        <v>100</v>
      </c>
      <c r="C102" t="s">
        <v>78</v>
      </c>
      <c r="D102" t="s">
        <v>71</v>
      </c>
      <c r="E102" t="s">
        <v>64</v>
      </c>
      <c r="F102" t="s">
        <v>72</v>
      </c>
      <c r="G102" s="53">
        <v>39870</v>
      </c>
      <c r="H102">
        <v>5400</v>
      </c>
      <c r="I102" s="54">
        <v>1129</v>
      </c>
      <c r="J102" s="54">
        <v>137</v>
      </c>
      <c r="K102">
        <v>400</v>
      </c>
      <c r="L102">
        <v>2645.5</v>
      </c>
      <c r="M102">
        <v>880</v>
      </c>
      <c r="N102">
        <v>10000</v>
      </c>
      <c r="O102">
        <v>6580</v>
      </c>
      <c r="P102">
        <v>7000</v>
      </c>
      <c r="Q102" s="52">
        <f t="shared" si="7"/>
        <v>2304.5171045171046</v>
      </c>
      <c r="R102" s="52">
        <f t="shared" si="8"/>
        <v>3095.4828954828954</v>
      </c>
      <c r="S102" s="52">
        <f t="shared" si="9"/>
        <v>3095.4828954828954</v>
      </c>
      <c r="T102">
        <v>-1239.4</v>
      </c>
      <c r="U102">
        <v>352.6</v>
      </c>
      <c r="V102" s="54">
        <v>1583</v>
      </c>
      <c r="W102" s="54">
        <v>965</v>
      </c>
      <c r="Z102" t="s">
        <v>401</v>
      </c>
      <c r="AA102" t="s">
        <v>401</v>
      </c>
      <c r="AB102" t="s">
        <v>401</v>
      </c>
      <c r="AC102" t="s">
        <v>401</v>
      </c>
      <c r="AD102" t="s">
        <v>401</v>
      </c>
      <c r="AE102" t="s">
        <v>401</v>
      </c>
      <c r="AF102">
        <f t="shared" si="11"/>
        <v>3656</v>
      </c>
      <c r="AG102">
        <f>VLOOKUP('Ballast Calculator'!$D$67,'Drop down Options'!$CS$289:$CV$293,4,FALSE)*Platforms!T102/Platforms!L102</f>
        <v>-290.4660744660745</v>
      </c>
      <c r="AH102">
        <f>VLOOKUP('Ballast Calculator'!$D$67,'Drop down Options'!$CS$289:$CV$293,4,FALSE)+(VLOOKUP('Ballast Calculator'!$D$67,'Drop down Options'!$CS$289:$CV$293,4,FALSE)*T102)/L102</f>
        <v>329.5339255339255</v>
      </c>
      <c r="AI102">
        <f>VLOOKUP('Ballast Calculator'!$D$67,'Drop down Options'!$CS$289:$CV$293,4,FALSE)*(Platforms!L102+Platforms!T102)/Platforms!L102</f>
        <v>329.5339255339255</v>
      </c>
      <c r="AJ102">
        <v>-942.7</v>
      </c>
      <c r="AK102">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102">
        <f>IF(VLOOKUP('Ballast Calculator'!$D$50,'Drop down Options'!$AN$202:$AQ$210,4,FALSE)="",0,Platforms!AK102)</f>
        <v>2494.5318654318653</v>
      </c>
      <c r="AM102">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102">
        <f>IF(VLOOKUP('Ballast Calculator'!$D$50,'Drop down Options'!$AN$202:$AQ$210,4,FALSE)="",0,Platforms!AM102)</f>
        <v>-1106.2318654318653</v>
      </c>
      <c r="AO102">
        <f>VLOOKUP('Ballast Calculator'!$D$54,'Drop down Options'!$CN$277:$CR$280,5,FALSE)*Platforms!AJ102/Platforms!L102</f>
        <v>0</v>
      </c>
      <c r="AP102" s="167">
        <f>VLOOKUP('Ballast Calculator'!$D$54,'Drop down Options'!$CN$277:$CR$280,5,FALSE)+VLOOKUP('Ballast Calculator'!$D$54,'Drop down Options'!$CN$277:$CR$280,5,FALSE)*Platforms!AJ102/Platforms!L102</f>
        <v>0</v>
      </c>
      <c r="AQ102" s="167">
        <f>VLOOKUP('Ballast Calculator'!$D$54,'Drop down Options'!$CN$277:$CR$280,5,FALSE)*(Platforms!AJ102+Platforms!L102)/Platforms!L102</f>
        <v>0</v>
      </c>
      <c r="AR102">
        <f>VLOOKUP('Ballast Calculator'!$D$61,'Drop down Options'!$BW$215:$BZ$248,4,FALSE)*(Platforms!L102+Platforms!AF102)/Platforms!L102</f>
        <v>0</v>
      </c>
      <c r="AS102" s="167">
        <f>-AR102+VLOOKUP('Ballast Calculator'!$D$61,'Drop down Options'!$BW$215:$BZ$248,4,FALSE)</f>
        <v>0</v>
      </c>
      <c r="AT102" s="167">
        <f>-VLOOKUP('Ballast Calculator'!$D$61,'Drop down Options'!$BW$215:$BZ$248,4,FALSE)*Platforms!AF102/Platforms!L102</f>
        <v>0</v>
      </c>
      <c r="AU102">
        <v>0</v>
      </c>
      <c r="AV102">
        <f>VLOOKUP('Ballast Calculator'!$D$64,'Drop down Options'!$CF$253:$CI$272,4,FALSE)</f>
        <v>77</v>
      </c>
      <c r="AW102">
        <f>VLOOKUP('Ballast Calculator'!$D$67,'Drop down Options'!$CS$289:$CV$293,4,FALSE)*Platforms!AZ102/Platforms!L102</f>
        <v>-290.3957663957664</v>
      </c>
      <c r="AX102">
        <f>AW102+VLOOKUP('Ballast Calculator'!$D$67,'Drop down Options'!$CS$289:$CV$293,4,FALSE)</f>
        <v>329.6042336042336</v>
      </c>
      <c r="AY102">
        <f>VLOOKUP('Ballast Calculator'!$D$67,'Drop down Options'!$CS$289:$CV$293,4,FALSE)*(Platforms!AZ102+Platforms!L102)/Platforms!L102</f>
        <v>329.6042336042336</v>
      </c>
      <c r="AZ102">
        <f t="shared" si="13"/>
        <v>-1239.1</v>
      </c>
    </row>
    <row r="103" spans="1:52" ht="12.75">
      <c r="A103" s="52" t="str">
        <f t="shared" si="12"/>
        <v>7230PremiumMFWDIVT</v>
      </c>
      <c r="B103">
        <v>101</v>
      </c>
      <c r="C103" t="s">
        <v>78</v>
      </c>
      <c r="D103" t="s">
        <v>71</v>
      </c>
      <c r="E103" t="s">
        <v>64</v>
      </c>
      <c r="F103" t="s">
        <v>75</v>
      </c>
      <c r="G103" s="53">
        <v>39870</v>
      </c>
      <c r="H103">
        <v>5400</v>
      </c>
      <c r="I103" s="54">
        <v>1129</v>
      </c>
      <c r="J103" s="54">
        <v>137</v>
      </c>
      <c r="K103">
        <v>400</v>
      </c>
      <c r="L103">
        <v>2645.5</v>
      </c>
      <c r="M103">
        <v>880</v>
      </c>
      <c r="N103">
        <v>10000</v>
      </c>
      <c r="O103">
        <v>6580</v>
      </c>
      <c r="P103">
        <v>7000</v>
      </c>
      <c r="Q103" s="52">
        <f t="shared" si="7"/>
        <v>2304.5171045171046</v>
      </c>
      <c r="R103" s="52">
        <f t="shared" si="8"/>
        <v>3095.4828954828954</v>
      </c>
      <c r="S103" s="52">
        <f t="shared" si="9"/>
        <v>3095.4828954828954</v>
      </c>
      <c r="T103">
        <v>-1239.4</v>
      </c>
      <c r="U103">
        <v>352.6</v>
      </c>
      <c r="V103" s="54">
        <v>1583</v>
      </c>
      <c r="W103" s="54">
        <v>965</v>
      </c>
      <c r="Z103" t="s">
        <v>401</v>
      </c>
      <c r="AA103" t="s">
        <v>401</v>
      </c>
      <c r="AB103" t="s">
        <v>401</v>
      </c>
      <c r="AC103" t="s">
        <v>401</v>
      </c>
      <c r="AD103" t="s">
        <v>401</v>
      </c>
      <c r="AE103" t="s">
        <v>401</v>
      </c>
      <c r="AF103">
        <f t="shared" si="11"/>
        <v>3656</v>
      </c>
      <c r="AG103">
        <f>VLOOKUP('Ballast Calculator'!$D$67,'Drop down Options'!$CS$289:$CV$293,4,FALSE)*Platforms!T103/Platforms!L103</f>
        <v>-290.4660744660745</v>
      </c>
      <c r="AH103">
        <f>VLOOKUP('Ballast Calculator'!$D$67,'Drop down Options'!$CS$289:$CV$293,4,FALSE)+(VLOOKUP('Ballast Calculator'!$D$67,'Drop down Options'!$CS$289:$CV$293,4,FALSE)*T103)/L103</f>
        <v>329.5339255339255</v>
      </c>
      <c r="AI103">
        <f>VLOOKUP('Ballast Calculator'!$D$67,'Drop down Options'!$CS$289:$CV$293,4,FALSE)*(Platforms!L103+Platforms!T103)/Platforms!L103</f>
        <v>329.5339255339255</v>
      </c>
      <c r="AJ103">
        <v>-942.7</v>
      </c>
      <c r="AK103">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103">
        <f>IF(VLOOKUP('Ballast Calculator'!$D$50,'Drop down Options'!$AN$202:$AQ$210,4,FALSE)="",0,Platforms!AK103)</f>
        <v>2494.5318654318653</v>
      </c>
      <c r="AM103">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103">
        <f>IF(VLOOKUP('Ballast Calculator'!$D$50,'Drop down Options'!$AN$202:$AQ$210,4,FALSE)="",0,Platforms!AM103)</f>
        <v>-1106.2318654318653</v>
      </c>
      <c r="AO103">
        <f>VLOOKUP('Ballast Calculator'!$D$54,'Drop down Options'!$CN$277:$CR$280,5,FALSE)*Platforms!AJ103/Platforms!L103</f>
        <v>0</v>
      </c>
      <c r="AP103" s="167">
        <f>VLOOKUP('Ballast Calculator'!$D$54,'Drop down Options'!$CN$277:$CR$280,5,FALSE)+VLOOKUP('Ballast Calculator'!$D$54,'Drop down Options'!$CN$277:$CR$280,5,FALSE)*Platforms!AJ103/Platforms!L103</f>
        <v>0</v>
      </c>
      <c r="AQ103" s="167">
        <f>VLOOKUP('Ballast Calculator'!$D$54,'Drop down Options'!$CN$277:$CR$280,5,FALSE)*(Platforms!AJ103+Platforms!L103)/Platforms!L103</f>
        <v>0</v>
      </c>
      <c r="AR103">
        <f>VLOOKUP('Ballast Calculator'!$D$61,'Drop down Options'!$BW$215:$BZ$248,4,FALSE)*(Platforms!L103+Platforms!AF103)/Platforms!L103</f>
        <v>0</v>
      </c>
      <c r="AS103" s="167">
        <f>-AR103+VLOOKUP('Ballast Calculator'!$D$61,'Drop down Options'!$BW$215:$BZ$248,4,FALSE)</f>
        <v>0</v>
      </c>
      <c r="AT103" s="167">
        <f>-VLOOKUP('Ballast Calculator'!$D$61,'Drop down Options'!$BW$215:$BZ$248,4,FALSE)*Platforms!AF103/Platforms!L103</f>
        <v>0</v>
      </c>
      <c r="AU103">
        <v>0</v>
      </c>
      <c r="AV103">
        <f>VLOOKUP('Ballast Calculator'!$D$64,'Drop down Options'!$CF$253:$CI$272,4,FALSE)</f>
        <v>77</v>
      </c>
      <c r="AW103">
        <f>VLOOKUP('Ballast Calculator'!$D$67,'Drop down Options'!$CS$289:$CV$293,4,FALSE)*Platforms!AZ103/Platforms!L103</f>
        <v>-290.3957663957664</v>
      </c>
      <c r="AX103">
        <f>AW103+VLOOKUP('Ballast Calculator'!$D$67,'Drop down Options'!$CS$289:$CV$293,4,FALSE)</f>
        <v>329.6042336042336</v>
      </c>
      <c r="AY103">
        <f>VLOOKUP('Ballast Calculator'!$D$67,'Drop down Options'!$CS$289:$CV$293,4,FALSE)*(Platforms!AZ103+Platforms!L103)/Platforms!L103</f>
        <v>329.6042336042336</v>
      </c>
      <c r="AZ103">
        <f t="shared" si="13"/>
        <v>-1239.1</v>
      </c>
    </row>
    <row r="104" spans="1:52" ht="12.75">
      <c r="A104" s="52" t="str">
        <f t="shared" si="12"/>
        <v>7230PremiumMFWD TLSPQ+</v>
      </c>
      <c r="B104">
        <v>102</v>
      </c>
      <c r="C104" t="s">
        <v>78</v>
      </c>
      <c r="D104" t="s">
        <v>71</v>
      </c>
      <c r="E104" t="s">
        <v>73</v>
      </c>
      <c r="F104" t="s">
        <v>69</v>
      </c>
      <c r="G104" s="53">
        <v>39870</v>
      </c>
      <c r="H104">
        <v>5400</v>
      </c>
      <c r="I104" s="54">
        <v>1129</v>
      </c>
      <c r="J104" s="54">
        <v>137</v>
      </c>
      <c r="K104" s="54">
        <v>450</v>
      </c>
      <c r="L104" s="54">
        <v>2645.5</v>
      </c>
      <c r="M104">
        <v>880</v>
      </c>
      <c r="N104">
        <v>10000</v>
      </c>
      <c r="O104">
        <v>6580</v>
      </c>
      <c r="P104">
        <v>7000</v>
      </c>
      <c r="Q104" s="52">
        <f t="shared" si="7"/>
        <v>2304.5171045171046</v>
      </c>
      <c r="R104" s="52">
        <f t="shared" si="8"/>
        <v>3095.4828954828954</v>
      </c>
      <c r="S104" s="52">
        <f t="shared" si="9"/>
        <v>3095.4828954828954</v>
      </c>
      <c r="T104">
        <v>-1239.4</v>
      </c>
      <c r="U104">
        <v>352.6</v>
      </c>
      <c r="V104" s="54">
        <v>1583</v>
      </c>
      <c r="W104" s="54">
        <v>965</v>
      </c>
      <c r="Z104" t="s">
        <v>401</v>
      </c>
      <c r="AA104" t="s">
        <v>401</v>
      </c>
      <c r="AB104" t="s">
        <v>401</v>
      </c>
      <c r="AC104" t="s">
        <v>401</v>
      </c>
      <c r="AD104" t="s">
        <v>401</v>
      </c>
      <c r="AE104" t="s">
        <v>401</v>
      </c>
      <c r="AF104">
        <f t="shared" si="11"/>
        <v>3656</v>
      </c>
      <c r="AG104">
        <f>VLOOKUP('Ballast Calculator'!$D$67,'Drop down Options'!$CS$289:$CV$293,4,FALSE)*Platforms!T104/Platforms!L104</f>
        <v>-290.4660744660745</v>
      </c>
      <c r="AH104">
        <f>VLOOKUP('Ballast Calculator'!$D$67,'Drop down Options'!$CS$289:$CV$293,4,FALSE)+(VLOOKUP('Ballast Calculator'!$D$67,'Drop down Options'!$CS$289:$CV$293,4,FALSE)*T104)/L104</f>
        <v>329.5339255339255</v>
      </c>
      <c r="AI104">
        <f>VLOOKUP('Ballast Calculator'!$D$67,'Drop down Options'!$CS$289:$CV$293,4,FALSE)*(Platforms!L104+Platforms!T104)/Platforms!L104</f>
        <v>329.5339255339255</v>
      </c>
      <c r="AJ104">
        <v>-942.7</v>
      </c>
      <c r="AK104">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104">
        <f>IF(VLOOKUP('Ballast Calculator'!$D$50,'Drop down Options'!$AN$202:$AQ$210,4,FALSE)="",0,Platforms!AK104)</f>
        <v>2494.5318654318653</v>
      </c>
      <c r="AM104">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104">
        <f>IF(VLOOKUP('Ballast Calculator'!$D$50,'Drop down Options'!$AN$202:$AQ$210,4,FALSE)="",0,Platforms!AM104)</f>
        <v>-1106.2318654318653</v>
      </c>
      <c r="AO104">
        <f>VLOOKUP('Ballast Calculator'!$D$54,'Drop down Options'!$CN$277:$CR$280,5,FALSE)*Platforms!AJ104/Platforms!L104</f>
        <v>0</v>
      </c>
      <c r="AP104" s="167">
        <f>VLOOKUP('Ballast Calculator'!$D$54,'Drop down Options'!$CN$277:$CR$280,5,FALSE)+VLOOKUP('Ballast Calculator'!$D$54,'Drop down Options'!$CN$277:$CR$280,5,FALSE)*Platforms!AJ104/Platforms!L104</f>
        <v>0</v>
      </c>
      <c r="AQ104" s="167">
        <f>VLOOKUP('Ballast Calculator'!$D$54,'Drop down Options'!$CN$277:$CR$280,5,FALSE)*(Platforms!AJ104+Platforms!L104)/Platforms!L104</f>
        <v>0</v>
      </c>
      <c r="AR104">
        <f>VLOOKUP('Ballast Calculator'!$D$61,'Drop down Options'!$BW$215:$BZ$248,4,FALSE)*(Platforms!L104+Platforms!AF104)/Platforms!L104</f>
        <v>0</v>
      </c>
      <c r="AS104" s="167">
        <f>-AR104+VLOOKUP('Ballast Calculator'!$D$61,'Drop down Options'!$BW$215:$BZ$248,4,FALSE)</f>
        <v>0</v>
      </c>
      <c r="AT104" s="167">
        <f>-VLOOKUP('Ballast Calculator'!$D$61,'Drop down Options'!$BW$215:$BZ$248,4,FALSE)*Platforms!AF104/Platforms!L104</f>
        <v>0</v>
      </c>
      <c r="AU104">
        <v>0</v>
      </c>
      <c r="AV104">
        <f>VLOOKUP('Ballast Calculator'!$D$64,'Drop down Options'!$CF$253:$CI$272,4,FALSE)</f>
        <v>77</v>
      </c>
      <c r="AW104">
        <f>VLOOKUP('Ballast Calculator'!$D$67,'Drop down Options'!$CS$289:$CV$293,4,FALSE)*Platforms!AZ104/Platforms!L104</f>
        <v>-290.3957663957664</v>
      </c>
      <c r="AX104">
        <f>AW104+VLOOKUP('Ballast Calculator'!$D$67,'Drop down Options'!$CS$289:$CV$293,4,FALSE)</f>
        <v>329.6042336042336</v>
      </c>
      <c r="AY104">
        <f>VLOOKUP('Ballast Calculator'!$D$67,'Drop down Options'!$CS$289:$CV$293,4,FALSE)*(Platforms!AZ104+Platforms!L104)/Platforms!L104</f>
        <v>329.6042336042336</v>
      </c>
      <c r="AZ104">
        <f t="shared" si="13"/>
        <v>-1239.1</v>
      </c>
    </row>
    <row r="105" spans="1:52" ht="12.75">
      <c r="A105" s="52" t="str">
        <f t="shared" si="12"/>
        <v>7230PremiumMFWD TLSAQ+</v>
      </c>
      <c r="B105">
        <v>103</v>
      </c>
      <c r="C105" t="s">
        <v>78</v>
      </c>
      <c r="D105" t="s">
        <v>71</v>
      </c>
      <c r="E105" t="s">
        <v>73</v>
      </c>
      <c r="F105" t="s">
        <v>72</v>
      </c>
      <c r="G105" s="53">
        <v>39870</v>
      </c>
      <c r="H105">
        <v>5400</v>
      </c>
      <c r="I105" s="54">
        <v>1129</v>
      </c>
      <c r="J105" s="54">
        <v>137</v>
      </c>
      <c r="K105" s="54">
        <v>450</v>
      </c>
      <c r="L105" s="54">
        <v>2645.5</v>
      </c>
      <c r="M105">
        <v>880</v>
      </c>
      <c r="N105">
        <v>10000</v>
      </c>
      <c r="O105">
        <v>6580</v>
      </c>
      <c r="P105">
        <v>7000</v>
      </c>
      <c r="Q105" s="52">
        <f t="shared" si="7"/>
        <v>2304.5171045171046</v>
      </c>
      <c r="R105" s="52">
        <f t="shared" si="8"/>
        <v>3095.4828954828954</v>
      </c>
      <c r="S105" s="52">
        <f t="shared" si="9"/>
        <v>3095.4828954828954</v>
      </c>
      <c r="T105">
        <v>-1239.4</v>
      </c>
      <c r="U105">
        <v>352.6</v>
      </c>
      <c r="V105" s="54">
        <v>1583</v>
      </c>
      <c r="W105" s="54">
        <v>965</v>
      </c>
      <c r="Z105" t="s">
        <v>401</v>
      </c>
      <c r="AA105" t="s">
        <v>401</v>
      </c>
      <c r="AB105" t="s">
        <v>401</v>
      </c>
      <c r="AC105" t="s">
        <v>401</v>
      </c>
      <c r="AD105" t="s">
        <v>401</v>
      </c>
      <c r="AE105" t="s">
        <v>401</v>
      </c>
      <c r="AF105">
        <f t="shared" si="11"/>
        <v>3656</v>
      </c>
      <c r="AG105">
        <f>VLOOKUP('Ballast Calculator'!$D$67,'Drop down Options'!$CS$289:$CV$293,4,FALSE)*Platforms!T105/Platforms!L105</f>
        <v>-290.4660744660745</v>
      </c>
      <c r="AH105">
        <f>VLOOKUP('Ballast Calculator'!$D$67,'Drop down Options'!$CS$289:$CV$293,4,FALSE)+(VLOOKUP('Ballast Calculator'!$D$67,'Drop down Options'!$CS$289:$CV$293,4,FALSE)*T105)/L105</f>
        <v>329.5339255339255</v>
      </c>
      <c r="AI105">
        <f>VLOOKUP('Ballast Calculator'!$D$67,'Drop down Options'!$CS$289:$CV$293,4,FALSE)*(Platforms!L105+Platforms!T105)/Platforms!L105</f>
        <v>329.5339255339255</v>
      </c>
      <c r="AJ105">
        <v>-942.7</v>
      </c>
      <c r="AK105">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105">
        <f>IF(VLOOKUP('Ballast Calculator'!$D$50,'Drop down Options'!$AN$202:$AQ$210,4,FALSE)="",0,Platforms!AK105)</f>
        <v>2494.5318654318653</v>
      </c>
      <c r="AM105">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105">
        <f>IF(VLOOKUP('Ballast Calculator'!$D$50,'Drop down Options'!$AN$202:$AQ$210,4,FALSE)="",0,Platforms!AM105)</f>
        <v>-1106.2318654318653</v>
      </c>
      <c r="AO105">
        <f>VLOOKUP('Ballast Calculator'!$D$54,'Drop down Options'!$CN$277:$CR$280,5,FALSE)*Platforms!AJ105/Platforms!L105</f>
        <v>0</v>
      </c>
      <c r="AP105" s="167">
        <f>VLOOKUP('Ballast Calculator'!$D$54,'Drop down Options'!$CN$277:$CR$280,5,FALSE)+VLOOKUP('Ballast Calculator'!$D$54,'Drop down Options'!$CN$277:$CR$280,5,FALSE)*Platforms!AJ105/Platforms!L105</f>
        <v>0</v>
      </c>
      <c r="AQ105" s="167">
        <f>VLOOKUP('Ballast Calculator'!$D$54,'Drop down Options'!$CN$277:$CR$280,5,FALSE)*(Platforms!AJ105+Platforms!L105)/Platforms!L105</f>
        <v>0</v>
      </c>
      <c r="AR105">
        <f>VLOOKUP('Ballast Calculator'!$D$61,'Drop down Options'!$BW$215:$BZ$248,4,FALSE)*(Platforms!L105+Platforms!AF105)/Platforms!L105</f>
        <v>0</v>
      </c>
      <c r="AS105" s="167">
        <f>-AR105+VLOOKUP('Ballast Calculator'!$D$61,'Drop down Options'!$BW$215:$BZ$248,4,FALSE)</f>
        <v>0</v>
      </c>
      <c r="AT105" s="167">
        <f>-VLOOKUP('Ballast Calculator'!$D$61,'Drop down Options'!$BW$215:$BZ$248,4,FALSE)*Platforms!AF105/Platforms!L105</f>
        <v>0</v>
      </c>
      <c r="AU105">
        <v>0</v>
      </c>
      <c r="AV105">
        <f>VLOOKUP('Ballast Calculator'!$D$64,'Drop down Options'!$CF$253:$CI$272,4,FALSE)</f>
        <v>77</v>
      </c>
      <c r="AW105">
        <f>VLOOKUP('Ballast Calculator'!$D$67,'Drop down Options'!$CS$289:$CV$293,4,FALSE)*Platforms!AZ105/Platforms!L105</f>
        <v>-290.3957663957664</v>
      </c>
      <c r="AX105">
        <f>AW105+VLOOKUP('Ballast Calculator'!$D$67,'Drop down Options'!$CS$289:$CV$293,4,FALSE)</f>
        <v>329.6042336042336</v>
      </c>
      <c r="AY105">
        <f>VLOOKUP('Ballast Calculator'!$D$67,'Drop down Options'!$CS$289:$CV$293,4,FALSE)*(Platforms!AZ105+Platforms!L105)/Platforms!L105</f>
        <v>329.6042336042336</v>
      </c>
      <c r="AZ105">
        <f t="shared" si="13"/>
        <v>-1239.1</v>
      </c>
    </row>
    <row r="106" spans="1:52" ht="12.75">
      <c r="A106" s="52" t="str">
        <f t="shared" si="12"/>
        <v>7230PremiumMFWD TLSIVT</v>
      </c>
      <c r="B106">
        <v>104</v>
      </c>
      <c r="C106" t="s">
        <v>78</v>
      </c>
      <c r="D106" t="s">
        <v>71</v>
      </c>
      <c r="E106" t="s">
        <v>73</v>
      </c>
      <c r="F106" t="s">
        <v>75</v>
      </c>
      <c r="G106" s="53">
        <v>39870</v>
      </c>
      <c r="H106">
        <v>5400</v>
      </c>
      <c r="I106" s="54">
        <v>1129</v>
      </c>
      <c r="J106" s="54">
        <v>137</v>
      </c>
      <c r="K106" s="54">
        <v>450</v>
      </c>
      <c r="L106" s="54">
        <v>2645.5</v>
      </c>
      <c r="M106">
        <v>880</v>
      </c>
      <c r="N106">
        <v>10000</v>
      </c>
      <c r="O106">
        <v>6580</v>
      </c>
      <c r="P106">
        <v>7000</v>
      </c>
      <c r="Q106" s="52">
        <f t="shared" si="7"/>
        <v>2304.5171045171046</v>
      </c>
      <c r="R106" s="52">
        <f t="shared" si="8"/>
        <v>3095.4828954828954</v>
      </c>
      <c r="S106" s="52">
        <f t="shared" si="9"/>
        <v>3095.4828954828954</v>
      </c>
      <c r="T106">
        <v>-1239.4</v>
      </c>
      <c r="U106">
        <v>352.6</v>
      </c>
      <c r="V106" s="54">
        <v>1583</v>
      </c>
      <c r="W106" s="54">
        <v>1005</v>
      </c>
      <c r="Z106" t="s">
        <v>401</v>
      </c>
      <c r="AA106" t="s">
        <v>401</v>
      </c>
      <c r="AB106" t="s">
        <v>401</v>
      </c>
      <c r="AC106" t="s">
        <v>401</v>
      </c>
      <c r="AD106" t="s">
        <v>401</v>
      </c>
      <c r="AE106" t="s">
        <v>401</v>
      </c>
      <c r="AF106">
        <f t="shared" si="11"/>
        <v>3656</v>
      </c>
      <c r="AG106">
        <f>VLOOKUP('Ballast Calculator'!$D$67,'Drop down Options'!$CS$289:$CV$293,4,FALSE)*Platforms!T106/Platforms!L106</f>
        <v>-290.4660744660745</v>
      </c>
      <c r="AH106">
        <f>VLOOKUP('Ballast Calculator'!$D$67,'Drop down Options'!$CS$289:$CV$293,4,FALSE)+(VLOOKUP('Ballast Calculator'!$D$67,'Drop down Options'!$CS$289:$CV$293,4,FALSE)*T106)/L106</f>
        <v>329.5339255339255</v>
      </c>
      <c r="AI106">
        <f>VLOOKUP('Ballast Calculator'!$D$67,'Drop down Options'!$CS$289:$CV$293,4,FALSE)*(Platforms!L106+Platforms!T106)/Platforms!L106</f>
        <v>329.5339255339255</v>
      </c>
      <c r="AJ106">
        <v>-942.7</v>
      </c>
      <c r="AK106">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106">
        <f>IF(VLOOKUP('Ballast Calculator'!$D$50,'Drop down Options'!$AN$202:$AQ$210,4,FALSE)="",0,Platforms!AK106)</f>
        <v>2494.5318654318653</v>
      </c>
      <c r="AM106">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106">
        <f>IF(VLOOKUP('Ballast Calculator'!$D$50,'Drop down Options'!$AN$202:$AQ$210,4,FALSE)="",0,Platforms!AM106)</f>
        <v>-1106.2318654318653</v>
      </c>
      <c r="AO106">
        <f>VLOOKUP('Ballast Calculator'!$D$54,'Drop down Options'!$CN$277:$CR$280,5,FALSE)*Platforms!AJ106/Platforms!L106</f>
        <v>0</v>
      </c>
      <c r="AP106" s="167">
        <f>VLOOKUP('Ballast Calculator'!$D$54,'Drop down Options'!$CN$277:$CR$280,5,FALSE)+VLOOKUP('Ballast Calculator'!$D$54,'Drop down Options'!$CN$277:$CR$280,5,FALSE)*Platforms!AJ106/Platforms!L106</f>
        <v>0</v>
      </c>
      <c r="AQ106" s="167">
        <f>VLOOKUP('Ballast Calculator'!$D$54,'Drop down Options'!$CN$277:$CR$280,5,FALSE)*(Platforms!AJ106+Platforms!L106)/Platforms!L106</f>
        <v>0</v>
      </c>
      <c r="AR106">
        <f>VLOOKUP('Ballast Calculator'!$D$61,'Drop down Options'!$BW$215:$BZ$248,4,FALSE)*(Platforms!L106+Platforms!AF106)/Platforms!L106</f>
        <v>0</v>
      </c>
      <c r="AS106" s="167">
        <f>-AR106+VLOOKUP('Ballast Calculator'!$D$61,'Drop down Options'!$BW$215:$BZ$248,4,FALSE)</f>
        <v>0</v>
      </c>
      <c r="AT106" s="167">
        <f>-VLOOKUP('Ballast Calculator'!$D$61,'Drop down Options'!$BW$215:$BZ$248,4,FALSE)*Platforms!AF106/Platforms!L106</f>
        <v>0</v>
      </c>
      <c r="AU106">
        <v>0</v>
      </c>
      <c r="AV106">
        <f>VLOOKUP('Ballast Calculator'!$D$64,'Drop down Options'!$CF$253:$CI$272,4,FALSE)</f>
        <v>77</v>
      </c>
      <c r="AW106">
        <f>VLOOKUP('Ballast Calculator'!$D$67,'Drop down Options'!$CS$289:$CV$293,4,FALSE)*Platforms!AZ106/Platforms!L106</f>
        <v>-290.3957663957664</v>
      </c>
      <c r="AX106">
        <f>AW106+VLOOKUP('Ballast Calculator'!$D$67,'Drop down Options'!$CS$289:$CV$293,4,FALSE)</f>
        <v>329.6042336042336</v>
      </c>
      <c r="AY106">
        <f>VLOOKUP('Ballast Calculator'!$D$67,'Drop down Options'!$CS$289:$CV$293,4,FALSE)*(Platforms!AZ106+Platforms!L106)/Platforms!L106</f>
        <v>329.6042336042336</v>
      </c>
      <c r="AZ106">
        <f t="shared" si="13"/>
        <v>-1239.1</v>
      </c>
    </row>
    <row r="107" spans="1:52" ht="12.75">
      <c r="A107" s="52" t="str">
        <f t="shared" si="12"/>
        <v>7330CAB2WDPQ+</v>
      </c>
      <c r="B107">
        <v>105</v>
      </c>
      <c r="C107" t="s">
        <v>79</v>
      </c>
      <c r="D107" t="s">
        <v>60</v>
      </c>
      <c r="E107" t="s">
        <v>6</v>
      </c>
      <c r="F107" t="s">
        <v>69</v>
      </c>
      <c r="G107" s="53">
        <v>39870</v>
      </c>
      <c r="H107">
        <v>4800</v>
      </c>
      <c r="I107" s="54">
        <v>987</v>
      </c>
      <c r="J107" s="54">
        <v>137</v>
      </c>
      <c r="K107">
        <v>272.9</v>
      </c>
      <c r="L107">
        <v>2710</v>
      </c>
      <c r="M107">
        <v>880</v>
      </c>
      <c r="N107">
        <v>8200</v>
      </c>
      <c r="O107">
        <v>6500</v>
      </c>
      <c r="P107">
        <v>7800</v>
      </c>
      <c r="Q107" s="52">
        <f t="shared" si="7"/>
        <v>1748.1918819188193</v>
      </c>
      <c r="R107" s="52">
        <f t="shared" si="8"/>
        <v>3051.8081180811805</v>
      </c>
      <c r="S107" s="52">
        <f t="shared" si="9"/>
        <v>3051.808118081181</v>
      </c>
      <c r="T107">
        <v>-1239.4</v>
      </c>
      <c r="U107">
        <v>331.1</v>
      </c>
      <c r="V107" s="54">
        <v>1583</v>
      </c>
      <c r="W107" s="54">
        <v>1005</v>
      </c>
      <c r="X107" t="s">
        <v>401</v>
      </c>
      <c r="Y107" t="s">
        <v>401</v>
      </c>
      <c r="Z107" t="s">
        <v>401</v>
      </c>
      <c r="AA107" t="s">
        <v>401</v>
      </c>
      <c r="AB107" t="s">
        <v>401</v>
      </c>
      <c r="AC107" t="s">
        <v>401</v>
      </c>
      <c r="AD107" t="s">
        <v>401</v>
      </c>
      <c r="AE107" t="s">
        <v>401</v>
      </c>
      <c r="AF107">
        <f>2650+1041</f>
        <v>3691</v>
      </c>
      <c r="AG107">
        <f>VLOOKUP('Ballast Calculator'!$D$67,'Drop down Options'!$CS$289:$CV$293,4,FALSE)*Platforms!T107/Platforms!L107</f>
        <v>-283.55276752767526</v>
      </c>
      <c r="AH107">
        <f>VLOOKUP('Ballast Calculator'!$D$67,'Drop down Options'!$CS$289:$CV$293,4,FALSE)+(VLOOKUP('Ballast Calculator'!$D$67,'Drop down Options'!$CS$289:$CV$293,4,FALSE)*T107)/L107</f>
        <v>336.44723247232474</v>
      </c>
      <c r="AI107">
        <f>VLOOKUP('Ballast Calculator'!$D$67,'Drop down Options'!$CS$289:$CV$293,4,FALSE)*(Platforms!L107+Platforms!T107)/Platforms!L107</f>
        <v>336.44723247232474</v>
      </c>
      <c r="AJ107">
        <v>-991.1</v>
      </c>
      <c r="AK107">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107">
        <f>IF(VLOOKUP('Ballast Calculator'!$D$50,'Drop down Options'!$AN$202:$AQ$210,4,FALSE)="",0,Platforms!AK107)</f>
        <v>2494.5318654318653</v>
      </c>
      <c r="AM107">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107">
        <f>IF(VLOOKUP('Ballast Calculator'!$D$50,'Drop down Options'!$AN$202:$AQ$210,4,FALSE)="",0,Platforms!AM107)</f>
        <v>-1106.2318654318653</v>
      </c>
      <c r="AO107">
        <f>VLOOKUP('Ballast Calculator'!$D$54,'Drop down Options'!$CN$277:$CR$280,5,FALSE)*Platforms!AJ107/Platforms!L107</f>
        <v>0</v>
      </c>
      <c r="AP107" s="167">
        <f>VLOOKUP('Ballast Calculator'!$D$54,'Drop down Options'!$CN$277:$CR$280,5,FALSE)+VLOOKUP('Ballast Calculator'!$D$54,'Drop down Options'!$CN$277:$CR$280,5,FALSE)*Platforms!AJ107/Platforms!L107</f>
        <v>0</v>
      </c>
      <c r="AQ107" s="167">
        <f>VLOOKUP('Ballast Calculator'!$D$54,'Drop down Options'!$CN$277:$CR$280,5,FALSE)*(Platforms!AJ107+Platforms!L107)/Platforms!L107</f>
        <v>0</v>
      </c>
      <c r="AR107">
        <f>VLOOKUP('Ballast Calculator'!$D$61,'Drop down Options'!$BW$215:$BZ$248,4,FALSE)*(Platforms!L107+Platforms!AF107)/Platforms!L107</f>
        <v>0</v>
      </c>
      <c r="AS107" s="167">
        <f>-AR107+VLOOKUP('Ballast Calculator'!$D$61,'Drop down Options'!$BW$215:$BZ$248,4,FALSE)</f>
        <v>0</v>
      </c>
      <c r="AT107" s="167">
        <f>-VLOOKUP('Ballast Calculator'!$D$61,'Drop down Options'!$BW$215:$BZ$248,4,FALSE)*Platforms!AF107/Platforms!L107</f>
        <v>0</v>
      </c>
      <c r="AU107">
        <v>0</v>
      </c>
      <c r="AV107">
        <f>VLOOKUP('Ballast Calculator'!$D$64,'Drop down Options'!$CF$253:$CI$272,4,FALSE)</f>
        <v>77</v>
      </c>
      <c r="AW107">
        <f>VLOOKUP('Ballast Calculator'!$D$67,'Drop down Options'!$CS$289:$CV$293,4,FALSE)*Platforms!AZ107/Platforms!L107</f>
        <v>-294.55719557195573</v>
      </c>
      <c r="AX107">
        <f>AW107+VLOOKUP('Ballast Calculator'!$D$67,'Drop down Options'!$CS$289:$CV$293,4,FALSE)</f>
        <v>325.44280442804427</v>
      </c>
      <c r="AY107">
        <f>VLOOKUP('Ballast Calculator'!$D$67,'Drop down Options'!$CS$289:$CV$293,4,FALSE)*(Platforms!AZ107+Platforms!L107)/Platforms!L107</f>
        <v>325.44280442804427</v>
      </c>
      <c r="AZ107">
        <f t="shared" si="13"/>
        <v>-1287.5</v>
      </c>
    </row>
    <row r="108" spans="1:52" ht="12.75">
      <c r="A108" s="52" t="str">
        <f t="shared" si="12"/>
        <v>7330OOS2WDS+</v>
      </c>
      <c r="B108">
        <v>106</v>
      </c>
      <c r="C108" t="s">
        <v>79</v>
      </c>
      <c r="D108" t="s">
        <v>63</v>
      </c>
      <c r="E108" t="s">
        <v>6</v>
      </c>
      <c r="F108" s="54" t="s">
        <v>68</v>
      </c>
      <c r="G108" s="53">
        <v>39870</v>
      </c>
      <c r="H108">
        <v>4400</v>
      </c>
      <c r="I108" s="54">
        <v>987</v>
      </c>
      <c r="J108" s="54">
        <v>137</v>
      </c>
      <c r="K108">
        <v>272.9</v>
      </c>
      <c r="L108">
        <v>2710</v>
      </c>
      <c r="M108">
        <v>880</v>
      </c>
      <c r="N108">
        <v>8200</v>
      </c>
      <c r="O108">
        <v>6500</v>
      </c>
      <c r="P108">
        <v>7800</v>
      </c>
      <c r="Q108" s="52">
        <f t="shared" si="7"/>
        <v>1602.509225092251</v>
      </c>
      <c r="R108" s="52">
        <f t="shared" si="8"/>
        <v>2797.4907749077493</v>
      </c>
      <c r="S108" s="52">
        <f t="shared" si="9"/>
        <v>2797.4907749077493</v>
      </c>
      <c r="T108">
        <v>-1239.4</v>
      </c>
      <c r="U108">
        <v>331.1</v>
      </c>
      <c r="V108" s="54">
        <v>1583</v>
      </c>
      <c r="W108" s="54">
        <v>1005</v>
      </c>
      <c r="X108" t="s">
        <v>401</v>
      </c>
      <c r="Y108" t="s">
        <v>401</v>
      </c>
      <c r="Z108" t="s">
        <v>401</v>
      </c>
      <c r="AA108" t="s">
        <v>401</v>
      </c>
      <c r="AB108" t="s">
        <v>401</v>
      </c>
      <c r="AC108" t="s">
        <v>401</v>
      </c>
      <c r="AD108" t="s">
        <v>401</v>
      </c>
      <c r="AE108" t="s">
        <v>401</v>
      </c>
      <c r="AF108">
        <f aca="true" t="shared" si="14" ref="AF108:AF121">2650+1041</f>
        <v>3691</v>
      </c>
      <c r="AG108">
        <f>VLOOKUP('Ballast Calculator'!$D$67,'Drop down Options'!$CS$289:$CV$293,4,FALSE)*Platforms!T108/Platforms!L108</f>
        <v>-283.55276752767526</v>
      </c>
      <c r="AH108">
        <f>VLOOKUP('Ballast Calculator'!$D$67,'Drop down Options'!$CS$289:$CV$293,4,FALSE)+(VLOOKUP('Ballast Calculator'!$D$67,'Drop down Options'!$CS$289:$CV$293,4,FALSE)*T108)/L108</f>
        <v>336.44723247232474</v>
      </c>
      <c r="AI108">
        <f>VLOOKUP('Ballast Calculator'!$D$67,'Drop down Options'!$CS$289:$CV$293,4,FALSE)*(Platforms!L108+Platforms!T108)/Platforms!L108</f>
        <v>336.44723247232474</v>
      </c>
      <c r="AJ108">
        <v>-991.1</v>
      </c>
      <c r="AK108">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108">
        <f>IF(VLOOKUP('Ballast Calculator'!$D$50,'Drop down Options'!$AN$202:$AQ$210,4,FALSE)="",0,Platforms!AK108)</f>
        <v>2494.5318654318653</v>
      </c>
      <c r="AM108">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108">
        <f>IF(VLOOKUP('Ballast Calculator'!$D$50,'Drop down Options'!$AN$202:$AQ$210,4,FALSE)="",0,Platforms!AM108)</f>
        <v>-1106.2318654318653</v>
      </c>
      <c r="AO108">
        <f>VLOOKUP('Ballast Calculator'!$D$54,'Drop down Options'!$CN$277:$CR$280,5,FALSE)*Platforms!AJ108/Platforms!L108</f>
        <v>0</v>
      </c>
      <c r="AP108" s="167">
        <f>VLOOKUP('Ballast Calculator'!$D$54,'Drop down Options'!$CN$277:$CR$280,5,FALSE)+VLOOKUP('Ballast Calculator'!$D$54,'Drop down Options'!$CN$277:$CR$280,5,FALSE)*Platforms!AJ108/Platforms!L108</f>
        <v>0</v>
      </c>
      <c r="AQ108" s="167">
        <f>VLOOKUP('Ballast Calculator'!$D$54,'Drop down Options'!$CN$277:$CR$280,5,FALSE)*(Platforms!AJ108+Platforms!L108)/Platforms!L108</f>
        <v>0</v>
      </c>
      <c r="AR108">
        <f>VLOOKUP('Ballast Calculator'!$D$61,'Drop down Options'!$BW$215:$BZ$248,4,FALSE)*(Platforms!L108+Platforms!AF108)/Platforms!L108</f>
        <v>0</v>
      </c>
      <c r="AS108" s="167">
        <f>-AR108+VLOOKUP('Ballast Calculator'!$D$61,'Drop down Options'!$BW$215:$BZ$248,4,FALSE)</f>
        <v>0</v>
      </c>
      <c r="AT108" s="167">
        <f>-VLOOKUP('Ballast Calculator'!$D$61,'Drop down Options'!$BW$215:$BZ$248,4,FALSE)*Platforms!AF108/Platforms!L108</f>
        <v>0</v>
      </c>
      <c r="AU108">
        <v>0</v>
      </c>
      <c r="AV108">
        <f>VLOOKUP('Ballast Calculator'!$D$64,'Drop down Options'!$CF$253:$CI$272,4,FALSE)</f>
        <v>77</v>
      </c>
      <c r="AW108">
        <f>VLOOKUP('Ballast Calculator'!$D$67,'Drop down Options'!$CS$289:$CV$293,4,FALSE)*Platforms!AZ108/Platforms!L108</f>
        <v>-294.55719557195573</v>
      </c>
      <c r="AX108">
        <f>AW108+VLOOKUP('Ballast Calculator'!$D$67,'Drop down Options'!$CS$289:$CV$293,4,FALSE)</f>
        <v>325.44280442804427</v>
      </c>
      <c r="AY108">
        <f>VLOOKUP('Ballast Calculator'!$D$67,'Drop down Options'!$CS$289:$CV$293,4,FALSE)*(Platforms!AZ108+Platforms!L108)/Platforms!L108</f>
        <v>325.44280442804427</v>
      </c>
      <c r="AZ108">
        <f t="shared" si="13"/>
        <v>-1287.5</v>
      </c>
    </row>
    <row r="109" spans="1:52" ht="12.75">
      <c r="A109" s="52" t="str">
        <f t="shared" si="12"/>
        <v>7330OOS2WDPQ</v>
      </c>
      <c r="B109">
        <v>107</v>
      </c>
      <c r="C109" t="s">
        <v>79</v>
      </c>
      <c r="D109" t="s">
        <v>63</v>
      </c>
      <c r="E109" t="s">
        <v>6</v>
      </c>
      <c r="F109" s="54" t="s">
        <v>70</v>
      </c>
      <c r="G109" s="53">
        <v>39870</v>
      </c>
      <c r="H109">
        <v>4400</v>
      </c>
      <c r="I109" s="54">
        <v>987</v>
      </c>
      <c r="J109" s="54">
        <v>137</v>
      </c>
      <c r="K109">
        <v>272.9</v>
      </c>
      <c r="L109">
        <v>2710</v>
      </c>
      <c r="M109">
        <v>880</v>
      </c>
      <c r="N109">
        <v>8200</v>
      </c>
      <c r="O109">
        <v>6500</v>
      </c>
      <c r="P109">
        <v>7800</v>
      </c>
      <c r="Q109" s="52">
        <f t="shared" si="7"/>
        <v>1602.509225092251</v>
      </c>
      <c r="R109" s="52">
        <f t="shared" si="8"/>
        <v>2797.4907749077493</v>
      </c>
      <c r="S109" s="52">
        <f t="shared" si="9"/>
        <v>2797.4907749077493</v>
      </c>
      <c r="T109">
        <v>-1239.4</v>
      </c>
      <c r="U109">
        <v>331.1</v>
      </c>
      <c r="V109" s="54">
        <v>1583</v>
      </c>
      <c r="W109" s="54">
        <v>1005</v>
      </c>
      <c r="X109" t="s">
        <v>401</v>
      </c>
      <c r="Y109" t="s">
        <v>401</v>
      </c>
      <c r="Z109" t="s">
        <v>401</v>
      </c>
      <c r="AA109" t="s">
        <v>401</v>
      </c>
      <c r="AB109" t="s">
        <v>401</v>
      </c>
      <c r="AC109" t="s">
        <v>401</v>
      </c>
      <c r="AD109" t="s">
        <v>401</v>
      </c>
      <c r="AE109" t="s">
        <v>401</v>
      </c>
      <c r="AF109">
        <f t="shared" si="14"/>
        <v>3691</v>
      </c>
      <c r="AG109">
        <f>VLOOKUP('Ballast Calculator'!$D$67,'Drop down Options'!$CS$289:$CV$293,4,FALSE)*Platforms!T109/Platforms!L109</f>
        <v>-283.55276752767526</v>
      </c>
      <c r="AH109">
        <f>VLOOKUP('Ballast Calculator'!$D$67,'Drop down Options'!$CS$289:$CV$293,4,FALSE)+(VLOOKUP('Ballast Calculator'!$D$67,'Drop down Options'!$CS$289:$CV$293,4,FALSE)*T109)/L109</f>
        <v>336.44723247232474</v>
      </c>
      <c r="AI109">
        <f>VLOOKUP('Ballast Calculator'!$D$67,'Drop down Options'!$CS$289:$CV$293,4,FALSE)*(Platforms!L109+Platforms!T109)/Platforms!L109</f>
        <v>336.44723247232474</v>
      </c>
      <c r="AJ109">
        <v>-991.1</v>
      </c>
      <c r="AK109">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109">
        <f>IF(VLOOKUP('Ballast Calculator'!$D$50,'Drop down Options'!$AN$202:$AQ$210,4,FALSE)="",0,Platforms!AK109)</f>
        <v>2494.5318654318653</v>
      </c>
      <c r="AM109">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109">
        <f>IF(VLOOKUP('Ballast Calculator'!$D$50,'Drop down Options'!$AN$202:$AQ$210,4,FALSE)="",0,Platforms!AM109)</f>
        <v>-1106.2318654318653</v>
      </c>
      <c r="AO109">
        <f>VLOOKUP('Ballast Calculator'!$D$54,'Drop down Options'!$CN$277:$CR$280,5,FALSE)*Platforms!AJ109/Platforms!L109</f>
        <v>0</v>
      </c>
      <c r="AP109" s="167">
        <f>VLOOKUP('Ballast Calculator'!$D$54,'Drop down Options'!$CN$277:$CR$280,5,FALSE)+VLOOKUP('Ballast Calculator'!$D$54,'Drop down Options'!$CN$277:$CR$280,5,FALSE)*Platforms!AJ109/Platforms!L109</f>
        <v>0</v>
      </c>
      <c r="AQ109" s="167">
        <f>VLOOKUP('Ballast Calculator'!$D$54,'Drop down Options'!$CN$277:$CR$280,5,FALSE)*(Platforms!AJ109+Platforms!L109)/Platforms!L109</f>
        <v>0</v>
      </c>
      <c r="AR109">
        <f>VLOOKUP('Ballast Calculator'!$D$61,'Drop down Options'!$BW$215:$BZ$248,4,FALSE)*(Platforms!L109+Platforms!AF109)/Platforms!L109</f>
        <v>0</v>
      </c>
      <c r="AS109" s="167">
        <f>-AR109+VLOOKUP('Ballast Calculator'!$D$61,'Drop down Options'!$BW$215:$BZ$248,4,FALSE)</f>
        <v>0</v>
      </c>
      <c r="AT109" s="167">
        <f>-VLOOKUP('Ballast Calculator'!$D$61,'Drop down Options'!$BW$215:$BZ$248,4,FALSE)*Platforms!AF109/Platforms!L109</f>
        <v>0</v>
      </c>
      <c r="AU109">
        <v>0</v>
      </c>
      <c r="AV109">
        <f>VLOOKUP('Ballast Calculator'!$D$64,'Drop down Options'!$CF$253:$CI$272,4,FALSE)</f>
        <v>77</v>
      </c>
      <c r="AW109">
        <f>VLOOKUP('Ballast Calculator'!$D$67,'Drop down Options'!$CS$289:$CV$293,4,FALSE)*Platforms!AZ109/Platforms!L109</f>
        <v>-294.55719557195573</v>
      </c>
      <c r="AX109">
        <f>AW109+VLOOKUP('Ballast Calculator'!$D$67,'Drop down Options'!$CS$289:$CV$293,4,FALSE)</f>
        <v>325.44280442804427</v>
      </c>
      <c r="AY109">
        <f>VLOOKUP('Ballast Calculator'!$D$67,'Drop down Options'!$CS$289:$CV$293,4,FALSE)*(Platforms!AZ109+Platforms!L109)/Platforms!L109</f>
        <v>325.44280442804427</v>
      </c>
      <c r="AZ109">
        <f t="shared" si="13"/>
        <v>-1287.5</v>
      </c>
    </row>
    <row r="110" spans="1:52" ht="12.75">
      <c r="A110" s="52" t="str">
        <f t="shared" si="12"/>
        <v>7330Premium2WDPQ+</v>
      </c>
      <c r="B110">
        <v>108</v>
      </c>
      <c r="C110" t="s">
        <v>79</v>
      </c>
      <c r="D110" t="s">
        <v>71</v>
      </c>
      <c r="E110" t="s">
        <v>6</v>
      </c>
      <c r="F110" t="s">
        <v>69</v>
      </c>
      <c r="G110" s="53">
        <v>39870</v>
      </c>
      <c r="H110">
        <v>6000</v>
      </c>
      <c r="I110" s="54">
        <v>987</v>
      </c>
      <c r="J110" s="54">
        <v>137</v>
      </c>
      <c r="K110">
        <v>293.7</v>
      </c>
      <c r="L110">
        <v>2846</v>
      </c>
      <c r="M110">
        <v>880</v>
      </c>
      <c r="N110">
        <v>11000</v>
      </c>
      <c r="O110">
        <v>6500</v>
      </c>
      <c r="P110">
        <v>7800</v>
      </c>
      <c r="Q110" s="52">
        <f t="shared" si="7"/>
        <v>2080.8151791988757</v>
      </c>
      <c r="R110" s="52">
        <f t="shared" si="8"/>
        <v>3919.1848208011243</v>
      </c>
      <c r="S110" s="52">
        <f t="shared" si="9"/>
        <v>3919.1848208011243</v>
      </c>
      <c r="T110">
        <v>-1239.4</v>
      </c>
      <c r="U110">
        <v>331.1</v>
      </c>
      <c r="V110" s="54">
        <v>1583</v>
      </c>
      <c r="W110" s="54">
        <v>1005</v>
      </c>
      <c r="X110" t="s">
        <v>401</v>
      </c>
      <c r="Y110" t="s">
        <v>401</v>
      </c>
      <c r="Z110" t="s">
        <v>401</v>
      </c>
      <c r="AA110" t="s">
        <v>401</v>
      </c>
      <c r="AB110" t="s">
        <v>401</v>
      </c>
      <c r="AC110" t="s">
        <v>401</v>
      </c>
      <c r="AD110" t="s">
        <v>401</v>
      </c>
      <c r="AE110" t="s">
        <v>401</v>
      </c>
      <c r="AF110">
        <f t="shared" si="14"/>
        <v>3691</v>
      </c>
      <c r="AG110">
        <f>VLOOKUP('Ballast Calculator'!$D$67,'Drop down Options'!$CS$289:$CV$293,4,FALSE)*Platforms!T110/Platforms!L110</f>
        <v>-270.0028109627547</v>
      </c>
      <c r="AH110">
        <f>VLOOKUP('Ballast Calculator'!$D$67,'Drop down Options'!$CS$289:$CV$293,4,FALSE)+(VLOOKUP('Ballast Calculator'!$D$67,'Drop down Options'!$CS$289:$CV$293,4,FALSE)*T110)/L110</f>
        <v>349.9971890372453</v>
      </c>
      <c r="AI110">
        <f>VLOOKUP('Ballast Calculator'!$D$67,'Drop down Options'!$CS$289:$CV$293,4,FALSE)*(Platforms!L110+Platforms!T110)/Platforms!L110</f>
        <v>349.9971890372453</v>
      </c>
      <c r="AJ110">
        <v>-991.1</v>
      </c>
      <c r="AK110">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110">
        <f>IF(VLOOKUP('Ballast Calculator'!$D$50,'Drop down Options'!$AN$202:$AQ$210,4,FALSE)="",0,Platforms!AK110)</f>
        <v>2494.5318654318653</v>
      </c>
      <c r="AM110">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110">
        <f>IF(VLOOKUP('Ballast Calculator'!$D$50,'Drop down Options'!$AN$202:$AQ$210,4,FALSE)="",0,Platforms!AM110)</f>
        <v>-1106.2318654318653</v>
      </c>
      <c r="AO110">
        <f>VLOOKUP('Ballast Calculator'!$D$54,'Drop down Options'!$CN$277:$CR$280,5,FALSE)*Platforms!AJ110/Platforms!L110</f>
        <v>0</v>
      </c>
      <c r="AP110" s="167">
        <f>VLOOKUP('Ballast Calculator'!$D$54,'Drop down Options'!$CN$277:$CR$280,5,FALSE)+VLOOKUP('Ballast Calculator'!$D$54,'Drop down Options'!$CN$277:$CR$280,5,FALSE)*Platforms!AJ110/Platforms!L110</f>
        <v>0</v>
      </c>
      <c r="AQ110" s="167">
        <f>VLOOKUP('Ballast Calculator'!$D$54,'Drop down Options'!$CN$277:$CR$280,5,FALSE)*(Platforms!AJ110+Platforms!L110)/Platforms!L110</f>
        <v>0</v>
      </c>
      <c r="AR110">
        <f>VLOOKUP('Ballast Calculator'!$D$61,'Drop down Options'!$BW$215:$BZ$248,4,FALSE)*(Platforms!L110+Platforms!AF110)/Platforms!L110</f>
        <v>0</v>
      </c>
      <c r="AS110" s="167">
        <f>-AR110+VLOOKUP('Ballast Calculator'!$D$61,'Drop down Options'!$BW$215:$BZ$248,4,FALSE)</f>
        <v>0</v>
      </c>
      <c r="AT110" s="167">
        <f>-VLOOKUP('Ballast Calculator'!$D$61,'Drop down Options'!$BW$215:$BZ$248,4,FALSE)*Platforms!AF110/Platforms!L110</f>
        <v>0</v>
      </c>
      <c r="AU110">
        <v>0</v>
      </c>
      <c r="AV110">
        <f>VLOOKUP('Ballast Calculator'!$D$64,'Drop down Options'!$CF$253:$CI$272,4,FALSE)</f>
        <v>77</v>
      </c>
      <c r="AW110">
        <f>VLOOKUP('Ballast Calculator'!$D$67,'Drop down Options'!$CS$289:$CV$293,4,FALSE)*Platforms!AZ110/Platforms!L110</f>
        <v>-280.48137737174983</v>
      </c>
      <c r="AX110">
        <f>AW110+VLOOKUP('Ballast Calculator'!$D$67,'Drop down Options'!$CS$289:$CV$293,4,FALSE)</f>
        <v>339.51862262825017</v>
      </c>
      <c r="AY110">
        <f>VLOOKUP('Ballast Calculator'!$D$67,'Drop down Options'!$CS$289:$CV$293,4,FALSE)*(Platforms!AZ110+Platforms!L110)/Platforms!L110</f>
        <v>339.51862262825017</v>
      </c>
      <c r="AZ110">
        <f t="shared" si="13"/>
        <v>-1287.5</v>
      </c>
    </row>
    <row r="111" spans="1:52" ht="12.75">
      <c r="A111" s="52" t="str">
        <f t="shared" si="12"/>
        <v>7330Premium2WDAQ+</v>
      </c>
      <c r="B111">
        <v>109</v>
      </c>
      <c r="C111" t="s">
        <v>79</v>
      </c>
      <c r="D111" t="s">
        <v>71</v>
      </c>
      <c r="E111" t="s">
        <v>6</v>
      </c>
      <c r="F111" t="s">
        <v>72</v>
      </c>
      <c r="G111" s="53">
        <v>39870</v>
      </c>
      <c r="H111">
        <v>6000</v>
      </c>
      <c r="I111" s="54">
        <v>987</v>
      </c>
      <c r="J111" s="54">
        <v>137</v>
      </c>
      <c r="K111">
        <v>293.7</v>
      </c>
      <c r="L111">
        <v>2846</v>
      </c>
      <c r="M111">
        <v>880</v>
      </c>
      <c r="N111">
        <v>11000</v>
      </c>
      <c r="O111">
        <v>6500</v>
      </c>
      <c r="P111">
        <v>7800</v>
      </c>
      <c r="Q111" s="52">
        <f t="shared" si="7"/>
        <v>2080.8151791988757</v>
      </c>
      <c r="R111" s="52">
        <f t="shared" si="8"/>
        <v>3919.1848208011243</v>
      </c>
      <c r="S111" s="52">
        <f t="shared" si="9"/>
        <v>3919.1848208011243</v>
      </c>
      <c r="T111">
        <v>-1239.4</v>
      </c>
      <c r="U111">
        <v>331.1</v>
      </c>
      <c r="V111" s="54">
        <v>1583</v>
      </c>
      <c r="W111" s="54">
        <v>1005</v>
      </c>
      <c r="X111" t="s">
        <v>401</v>
      </c>
      <c r="Y111" t="s">
        <v>401</v>
      </c>
      <c r="Z111" t="s">
        <v>401</v>
      </c>
      <c r="AA111" t="s">
        <v>401</v>
      </c>
      <c r="AB111" t="s">
        <v>401</v>
      </c>
      <c r="AC111" t="s">
        <v>401</v>
      </c>
      <c r="AD111" t="s">
        <v>401</v>
      </c>
      <c r="AE111" t="s">
        <v>401</v>
      </c>
      <c r="AF111">
        <f t="shared" si="14"/>
        <v>3691</v>
      </c>
      <c r="AG111">
        <f>VLOOKUP('Ballast Calculator'!$D$67,'Drop down Options'!$CS$289:$CV$293,4,FALSE)*Platforms!T111/Platforms!L111</f>
        <v>-270.0028109627547</v>
      </c>
      <c r="AH111">
        <f>VLOOKUP('Ballast Calculator'!$D$67,'Drop down Options'!$CS$289:$CV$293,4,FALSE)+(VLOOKUP('Ballast Calculator'!$D$67,'Drop down Options'!$CS$289:$CV$293,4,FALSE)*T111)/L111</f>
        <v>349.9971890372453</v>
      </c>
      <c r="AI111">
        <f>VLOOKUP('Ballast Calculator'!$D$67,'Drop down Options'!$CS$289:$CV$293,4,FALSE)*(Platforms!L111+Platforms!T111)/Platforms!L111</f>
        <v>349.9971890372453</v>
      </c>
      <c r="AJ111">
        <v>-991.1</v>
      </c>
      <c r="AK111">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111">
        <f>IF(VLOOKUP('Ballast Calculator'!$D$50,'Drop down Options'!$AN$202:$AQ$210,4,FALSE)="",0,Platforms!AK111)</f>
        <v>2494.5318654318653</v>
      </c>
      <c r="AM111">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111">
        <f>IF(VLOOKUP('Ballast Calculator'!$D$50,'Drop down Options'!$AN$202:$AQ$210,4,FALSE)="",0,Platforms!AM111)</f>
        <v>-1106.2318654318653</v>
      </c>
      <c r="AO111">
        <f>VLOOKUP('Ballast Calculator'!$D$54,'Drop down Options'!$CN$277:$CR$280,5,FALSE)*Platforms!AJ111/Platforms!L111</f>
        <v>0</v>
      </c>
      <c r="AP111" s="167">
        <f>VLOOKUP('Ballast Calculator'!$D$54,'Drop down Options'!$CN$277:$CR$280,5,FALSE)+VLOOKUP('Ballast Calculator'!$D$54,'Drop down Options'!$CN$277:$CR$280,5,FALSE)*Platforms!AJ111/Platforms!L111</f>
        <v>0</v>
      </c>
      <c r="AQ111" s="167">
        <f>VLOOKUP('Ballast Calculator'!$D$54,'Drop down Options'!$CN$277:$CR$280,5,FALSE)*(Platforms!AJ111+Platforms!L111)/Platforms!L111</f>
        <v>0</v>
      </c>
      <c r="AR111">
        <f>VLOOKUP('Ballast Calculator'!$D$61,'Drop down Options'!$BW$215:$BZ$248,4,FALSE)*(Platforms!L111+Platforms!AF111)/Platforms!L111</f>
        <v>0</v>
      </c>
      <c r="AS111" s="167">
        <f>-AR111+VLOOKUP('Ballast Calculator'!$D$61,'Drop down Options'!$BW$215:$BZ$248,4,FALSE)</f>
        <v>0</v>
      </c>
      <c r="AT111" s="167">
        <f>-VLOOKUP('Ballast Calculator'!$D$61,'Drop down Options'!$BW$215:$BZ$248,4,FALSE)*Platforms!AF111/Platforms!L111</f>
        <v>0</v>
      </c>
      <c r="AU111">
        <v>0</v>
      </c>
      <c r="AV111">
        <f>VLOOKUP('Ballast Calculator'!$D$64,'Drop down Options'!$CF$253:$CI$272,4,FALSE)</f>
        <v>77</v>
      </c>
      <c r="AW111">
        <f>VLOOKUP('Ballast Calculator'!$D$67,'Drop down Options'!$CS$289:$CV$293,4,FALSE)*Platforms!AZ111/Platforms!L111</f>
        <v>-280.48137737174983</v>
      </c>
      <c r="AX111">
        <f>AW111+VLOOKUP('Ballast Calculator'!$D$67,'Drop down Options'!$CS$289:$CV$293,4,FALSE)</f>
        <v>339.51862262825017</v>
      </c>
      <c r="AY111">
        <f>VLOOKUP('Ballast Calculator'!$D$67,'Drop down Options'!$CS$289:$CV$293,4,FALSE)*(Platforms!AZ111+Platforms!L111)/Platforms!L111</f>
        <v>339.51862262825017</v>
      </c>
      <c r="AZ111">
        <f t="shared" si="13"/>
        <v>-1287.5</v>
      </c>
    </row>
    <row r="112" spans="1:52" ht="12.75">
      <c r="A112" s="52" t="str">
        <f t="shared" si="12"/>
        <v>7330Premium2WDIVT</v>
      </c>
      <c r="B112">
        <v>110</v>
      </c>
      <c r="C112" t="s">
        <v>79</v>
      </c>
      <c r="D112" t="s">
        <v>71</v>
      </c>
      <c r="E112" t="s">
        <v>6</v>
      </c>
      <c r="F112" t="s">
        <v>75</v>
      </c>
      <c r="G112" s="53">
        <v>39870</v>
      </c>
      <c r="H112">
        <v>6000</v>
      </c>
      <c r="I112" s="54">
        <v>987</v>
      </c>
      <c r="J112" s="54">
        <v>137</v>
      </c>
      <c r="K112">
        <v>293.7</v>
      </c>
      <c r="L112">
        <v>2846</v>
      </c>
      <c r="M112">
        <v>880</v>
      </c>
      <c r="N112">
        <v>11000</v>
      </c>
      <c r="O112">
        <v>6500</v>
      </c>
      <c r="P112">
        <v>7800</v>
      </c>
      <c r="Q112" s="52">
        <f t="shared" si="7"/>
        <v>2080.8151791988757</v>
      </c>
      <c r="R112" s="52">
        <f t="shared" si="8"/>
        <v>3919.1848208011243</v>
      </c>
      <c r="S112" s="52">
        <f t="shared" si="9"/>
        <v>3919.1848208011243</v>
      </c>
      <c r="T112">
        <v>-1239.4</v>
      </c>
      <c r="U112">
        <v>331.1</v>
      </c>
      <c r="V112" s="54">
        <v>1583</v>
      </c>
      <c r="W112" s="54">
        <v>1005</v>
      </c>
      <c r="X112" t="s">
        <v>401</v>
      </c>
      <c r="Y112" t="s">
        <v>401</v>
      </c>
      <c r="Z112" t="s">
        <v>401</v>
      </c>
      <c r="AA112" t="s">
        <v>401</v>
      </c>
      <c r="AB112" t="s">
        <v>401</v>
      </c>
      <c r="AC112" t="s">
        <v>401</v>
      </c>
      <c r="AD112" t="s">
        <v>401</v>
      </c>
      <c r="AE112" t="s">
        <v>401</v>
      </c>
      <c r="AF112">
        <f t="shared" si="14"/>
        <v>3691</v>
      </c>
      <c r="AG112">
        <f>VLOOKUP('Ballast Calculator'!$D$67,'Drop down Options'!$CS$289:$CV$293,4,FALSE)*Platforms!T112/Platforms!L112</f>
        <v>-270.0028109627547</v>
      </c>
      <c r="AH112">
        <f>VLOOKUP('Ballast Calculator'!$D$67,'Drop down Options'!$CS$289:$CV$293,4,FALSE)+(VLOOKUP('Ballast Calculator'!$D$67,'Drop down Options'!$CS$289:$CV$293,4,FALSE)*T112)/L112</f>
        <v>349.9971890372453</v>
      </c>
      <c r="AI112">
        <f>VLOOKUP('Ballast Calculator'!$D$67,'Drop down Options'!$CS$289:$CV$293,4,FALSE)*(Platforms!L112+Platforms!T112)/Platforms!L112</f>
        <v>349.9971890372453</v>
      </c>
      <c r="AJ112">
        <v>-991.1</v>
      </c>
      <c r="AK112">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112">
        <f>IF(VLOOKUP('Ballast Calculator'!$D$50,'Drop down Options'!$AN$202:$AQ$210,4,FALSE)="",0,Platforms!AK112)</f>
        <v>2494.5318654318653</v>
      </c>
      <c r="AM112">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112">
        <f>IF(VLOOKUP('Ballast Calculator'!$D$50,'Drop down Options'!$AN$202:$AQ$210,4,FALSE)="",0,Platforms!AM112)</f>
        <v>-1106.2318654318653</v>
      </c>
      <c r="AO112">
        <f>VLOOKUP('Ballast Calculator'!$D$54,'Drop down Options'!$CN$277:$CR$280,5,FALSE)*Platforms!AJ112/Platforms!L112</f>
        <v>0</v>
      </c>
      <c r="AP112" s="167">
        <f>VLOOKUP('Ballast Calculator'!$D$54,'Drop down Options'!$CN$277:$CR$280,5,FALSE)+VLOOKUP('Ballast Calculator'!$D$54,'Drop down Options'!$CN$277:$CR$280,5,FALSE)*Platforms!AJ112/Platforms!L112</f>
        <v>0</v>
      </c>
      <c r="AQ112" s="167">
        <f>VLOOKUP('Ballast Calculator'!$D$54,'Drop down Options'!$CN$277:$CR$280,5,FALSE)*(Platforms!AJ112+Platforms!L112)/Platforms!L112</f>
        <v>0</v>
      </c>
      <c r="AR112">
        <f>VLOOKUP('Ballast Calculator'!$D$61,'Drop down Options'!$BW$215:$BZ$248,4,FALSE)*(Platforms!L112+Platforms!AF112)/Platforms!L112</f>
        <v>0</v>
      </c>
      <c r="AS112" s="167">
        <f>-AR112+VLOOKUP('Ballast Calculator'!$D$61,'Drop down Options'!$BW$215:$BZ$248,4,FALSE)</f>
        <v>0</v>
      </c>
      <c r="AT112" s="167">
        <f>-VLOOKUP('Ballast Calculator'!$D$61,'Drop down Options'!$BW$215:$BZ$248,4,FALSE)*Platforms!AF112/Platforms!L112</f>
        <v>0</v>
      </c>
      <c r="AU112">
        <v>0</v>
      </c>
      <c r="AV112">
        <f>VLOOKUP('Ballast Calculator'!$D$64,'Drop down Options'!$CF$253:$CI$272,4,FALSE)</f>
        <v>77</v>
      </c>
      <c r="AW112">
        <f>VLOOKUP('Ballast Calculator'!$D$67,'Drop down Options'!$CS$289:$CV$293,4,FALSE)*Platforms!AZ112/Platforms!L112</f>
        <v>-280.48137737174983</v>
      </c>
      <c r="AX112">
        <f>AW112+VLOOKUP('Ballast Calculator'!$D$67,'Drop down Options'!$CS$289:$CV$293,4,FALSE)</f>
        <v>339.51862262825017</v>
      </c>
      <c r="AY112">
        <f>VLOOKUP('Ballast Calculator'!$D$67,'Drop down Options'!$CS$289:$CV$293,4,FALSE)*(Platforms!AZ112+Platforms!L112)/Platforms!L112</f>
        <v>339.51862262825017</v>
      </c>
      <c r="AZ112">
        <f t="shared" si="13"/>
        <v>-1287.5</v>
      </c>
    </row>
    <row r="113" spans="1:52" ht="12.75">
      <c r="A113" s="52" t="str">
        <f t="shared" si="12"/>
        <v>7330CABMFWDPQ+</v>
      </c>
      <c r="B113">
        <v>111</v>
      </c>
      <c r="C113" t="s">
        <v>79</v>
      </c>
      <c r="D113" t="s">
        <v>60</v>
      </c>
      <c r="E113" t="s">
        <v>64</v>
      </c>
      <c r="F113" t="s">
        <v>69</v>
      </c>
      <c r="G113" s="53">
        <v>39870</v>
      </c>
      <c r="H113">
        <v>4800</v>
      </c>
      <c r="I113" s="54">
        <v>1154</v>
      </c>
      <c r="J113" s="54">
        <v>137</v>
      </c>
      <c r="K113">
        <v>400</v>
      </c>
      <c r="L113">
        <v>2645.5</v>
      </c>
      <c r="M113">
        <v>880</v>
      </c>
      <c r="N113">
        <v>11000</v>
      </c>
      <c r="O113">
        <v>7100</v>
      </c>
      <c r="P113">
        <v>7800</v>
      </c>
      <c r="Q113" s="52">
        <f t="shared" si="7"/>
        <v>2093.819693819694</v>
      </c>
      <c r="R113" s="52">
        <f t="shared" si="8"/>
        <v>2706.180306180306</v>
      </c>
      <c r="S113" s="52">
        <f t="shared" si="9"/>
        <v>2706.180306180306</v>
      </c>
      <c r="T113">
        <v>-1239.4</v>
      </c>
      <c r="U113">
        <v>331.1</v>
      </c>
      <c r="V113" s="54">
        <v>1583</v>
      </c>
      <c r="W113" s="54">
        <v>1005</v>
      </c>
      <c r="AD113" t="s">
        <v>401</v>
      </c>
      <c r="AE113" t="s">
        <v>401</v>
      </c>
      <c r="AF113">
        <f t="shared" si="14"/>
        <v>3691</v>
      </c>
      <c r="AG113">
        <f>VLOOKUP('Ballast Calculator'!$D$67,'Drop down Options'!$CS$289:$CV$293,4,FALSE)*Platforms!T113/Platforms!L113</f>
        <v>-290.4660744660745</v>
      </c>
      <c r="AH113">
        <f>VLOOKUP('Ballast Calculator'!$D$67,'Drop down Options'!$CS$289:$CV$293,4,FALSE)+(VLOOKUP('Ballast Calculator'!$D$67,'Drop down Options'!$CS$289:$CV$293,4,FALSE)*T113)/L113</f>
        <v>329.5339255339255</v>
      </c>
      <c r="AI113">
        <f>VLOOKUP('Ballast Calculator'!$D$67,'Drop down Options'!$CS$289:$CV$293,4,FALSE)*(Platforms!L113+Platforms!T113)/Platforms!L113</f>
        <v>329.5339255339255</v>
      </c>
      <c r="AJ113">
        <v>-991.1</v>
      </c>
      <c r="AK113">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113">
        <f>IF(VLOOKUP('Ballast Calculator'!$D$50,'Drop down Options'!$AN$202:$AQ$210,4,FALSE)="",0,Platforms!AK113)</f>
        <v>2494.5318654318653</v>
      </c>
      <c r="AM113">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113">
        <f>IF(VLOOKUP('Ballast Calculator'!$D$50,'Drop down Options'!$AN$202:$AQ$210,4,FALSE)="",0,Platforms!AM113)</f>
        <v>-1106.2318654318653</v>
      </c>
      <c r="AO113">
        <f>VLOOKUP('Ballast Calculator'!$D$54,'Drop down Options'!$CN$277:$CR$280,5,FALSE)*Platforms!AJ113/Platforms!L113</f>
        <v>0</v>
      </c>
      <c r="AP113" s="167">
        <f>VLOOKUP('Ballast Calculator'!$D$54,'Drop down Options'!$CN$277:$CR$280,5,FALSE)+VLOOKUP('Ballast Calculator'!$D$54,'Drop down Options'!$CN$277:$CR$280,5,FALSE)*Platforms!AJ113/Platforms!L113</f>
        <v>0</v>
      </c>
      <c r="AQ113" s="167">
        <f>VLOOKUP('Ballast Calculator'!$D$54,'Drop down Options'!$CN$277:$CR$280,5,FALSE)*(Platforms!AJ113+Platforms!L113)/Platforms!L113</f>
        <v>0</v>
      </c>
      <c r="AR113">
        <f>VLOOKUP('Ballast Calculator'!$D$61,'Drop down Options'!$BW$215:$BZ$248,4,FALSE)*(Platforms!L113+Platforms!AF113)/Platforms!L113</f>
        <v>0</v>
      </c>
      <c r="AS113" s="167">
        <f>-AR113+VLOOKUP('Ballast Calculator'!$D$61,'Drop down Options'!$BW$215:$BZ$248,4,FALSE)</f>
        <v>0</v>
      </c>
      <c r="AT113" s="167">
        <f>-VLOOKUP('Ballast Calculator'!$D$61,'Drop down Options'!$BW$215:$BZ$248,4,FALSE)*Platforms!AF113/Platforms!L113</f>
        <v>0</v>
      </c>
      <c r="AU113">
        <v>0</v>
      </c>
      <c r="AV113">
        <f>VLOOKUP('Ballast Calculator'!$D$64,'Drop down Options'!$CF$253:$CI$272,4,FALSE)</f>
        <v>77</v>
      </c>
      <c r="AW113">
        <f>VLOOKUP('Ballast Calculator'!$D$67,'Drop down Options'!$CS$289:$CV$293,4,FALSE)*Platforms!AZ113/Platforms!L113</f>
        <v>-301.7388017388017</v>
      </c>
      <c r="AX113">
        <f>AW113+VLOOKUP('Ballast Calculator'!$D$67,'Drop down Options'!$CS$289:$CV$293,4,FALSE)</f>
        <v>318.2611982611983</v>
      </c>
      <c r="AY113">
        <f>VLOOKUP('Ballast Calculator'!$D$67,'Drop down Options'!$CS$289:$CV$293,4,FALSE)*(Platforms!AZ113+Platforms!L113)/Platforms!L113</f>
        <v>318.2611982611983</v>
      </c>
      <c r="AZ113">
        <f t="shared" si="13"/>
        <v>-1287.5</v>
      </c>
    </row>
    <row r="114" spans="1:52" ht="12.75">
      <c r="A114" s="52" t="str">
        <f t="shared" si="12"/>
        <v>7330OOSMFWDS+</v>
      </c>
      <c r="B114">
        <v>112</v>
      </c>
      <c r="C114" t="s">
        <v>79</v>
      </c>
      <c r="D114" t="s">
        <v>63</v>
      </c>
      <c r="E114" t="s">
        <v>64</v>
      </c>
      <c r="F114" s="54" t="s">
        <v>68</v>
      </c>
      <c r="G114" s="53">
        <v>39870</v>
      </c>
      <c r="H114">
        <v>4400</v>
      </c>
      <c r="I114" s="54">
        <v>1154</v>
      </c>
      <c r="J114" s="54">
        <v>137</v>
      </c>
      <c r="K114">
        <v>400</v>
      </c>
      <c r="L114">
        <v>2645.5</v>
      </c>
      <c r="M114">
        <v>880</v>
      </c>
      <c r="N114">
        <v>11000</v>
      </c>
      <c r="O114">
        <v>7100</v>
      </c>
      <c r="P114">
        <v>7800</v>
      </c>
      <c r="Q114" s="52">
        <f t="shared" si="7"/>
        <v>1919.3347193347192</v>
      </c>
      <c r="R114" s="52">
        <f t="shared" si="8"/>
        <v>2480.665280665281</v>
      </c>
      <c r="S114" s="52">
        <f t="shared" si="9"/>
        <v>2480.6652806652805</v>
      </c>
      <c r="T114">
        <v>-1239.4</v>
      </c>
      <c r="U114">
        <v>331.1</v>
      </c>
      <c r="V114" s="54">
        <v>1583</v>
      </c>
      <c r="W114" s="54">
        <v>1005</v>
      </c>
      <c r="AD114" t="s">
        <v>401</v>
      </c>
      <c r="AE114" t="s">
        <v>401</v>
      </c>
      <c r="AF114">
        <f t="shared" si="14"/>
        <v>3691</v>
      </c>
      <c r="AG114">
        <f>VLOOKUP('Ballast Calculator'!$D$67,'Drop down Options'!$CS$289:$CV$293,4,FALSE)*Platforms!T114/Platforms!L114</f>
        <v>-290.4660744660745</v>
      </c>
      <c r="AH114">
        <f>VLOOKUP('Ballast Calculator'!$D$67,'Drop down Options'!$CS$289:$CV$293,4,FALSE)+(VLOOKUP('Ballast Calculator'!$D$67,'Drop down Options'!$CS$289:$CV$293,4,FALSE)*T114)/L114</f>
        <v>329.5339255339255</v>
      </c>
      <c r="AI114">
        <f>VLOOKUP('Ballast Calculator'!$D$67,'Drop down Options'!$CS$289:$CV$293,4,FALSE)*(Platforms!L114+Platforms!T114)/Platforms!L114</f>
        <v>329.5339255339255</v>
      </c>
      <c r="AJ114">
        <v>-991.1</v>
      </c>
      <c r="AK114">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114">
        <f>IF(VLOOKUP('Ballast Calculator'!$D$50,'Drop down Options'!$AN$202:$AQ$210,4,FALSE)="",0,Platforms!AK114)</f>
        <v>2494.5318654318653</v>
      </c>
      <c r="AM114">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114">
        <f>IF(VLOOKUP('Ballast Calculator'!$D$50,'Drop down Options'!$AN$202:$AQ$210,4,FALSE)="",0,Platforms!AM114)</f>
        <v>-1106.2318654318653</v>
      </c>
      <c r="AO114">
        <f>VLOOKUP('Ballast Calculator'!$D$54,'Drop down Options'!$CN$277:$CR$280,5,FALSE)*Platforms!AJ114/Platforms!L114</f>
        <v>0</v>
      </c>
      <c r="AP114" s="167">
        <f>VLOOKUP('Ballast Calculator'!$D$54,'Drop down Options'!$CN$277:$CR$280,5,FALSE)+VLOOKUP('Ballast Calculator'!$D$54,'Drop down Options'!$CN$277:$CR$280,5,FALSE)*Platforms!AJ114/Platforms!L114</f>
        <v>0</v>
      </c>
      <c r="AQ114" s="167">
        <f>VLOOKUP('Ballast Calculator'!$D$54,'Drop down Options'!$CN$277:$CR$280,5,FALSE)*(Platforms!AJ114+Platforms!L114)/Platforms!L114</f>
        <v>0</v>
      </c>
      <c r="AR114">
        <f>VLOOKUP('Ballast Calculator'!$D$61,'Drop down Options'!$BW$215:$BZ$248,4,FALSE)*(Platforms!L114+Platforms!AF114)/Platforms!L114</f>
        <v>0</v>
      </c>
      <c r="AS114" s="167">
        <f>-AR114+VLOOKUP('Ballast Calculator'!$D$61,'Drop down Options'!$BW$215:$BZ$248,4,FALSE)</f>
        <v>0</v>
      </c>
      <c r="AT114" s="167">
        <f>-VLOOKUP('Ballast Calculator'!$D$61,'Drop down Options'!$BW$215:$BZ$248,4,FALSE)*Platforms!AF114/Platforms!L114</f>
        <v>0</v>
      </c>
      <c r="AU114">
        <v>0</v>
      </c>
      <c r="AV114">
        <f>VLOOKUP('Ballast Calculator'!$D$64,'Drop down Options'!$CF$253:$CI$272,4,FALSE)</f>
        <v>77</v>
      </c>
      <c r="AW114">
        <f>VLOOKUP('Ballast Calculator'!$D$67,'Drop down Options'!$CS$289:$CV$293,4,FALSE)*Platforms!AZ114/Platforms!L114</f>
        <v>-301.7388017388017</v>
      </c>
      <c r="AX114">
        <f>AW114+VLOOKUP('Ballast Calculator'!$D$67,'Drop down Options'!$CS$289:$CV$293,4,FALSE)</f>
        <v>318.2611982611983</v>
      </c>
      <c r="AY114">
        <f>VLOOKUP('Ballast Calculator'!$D$67,'Drop down Options'!$CS$289:$CV$293,4,FALSE)*(Platforms!AZ114+Platforms!L114)/Platforms!L114</f>
        <v>318.2611982611983</v>
      </c>
      <c r="AZ114">
        <f t="shared" si="13"/>
        <v>-1287.5</v>
      </c>
    </row>
    <row r="115" spans="1:52" ht="12.75">
      <c r="A115" s="52" t="str">
        <f t="shared" si="12"/>
        <v>7330OOSMFWDPQ</v>
      </c>
      <c r="B115">
        <v>113</v>
      </c>
      <c r="C115" t="s">
        <v>79</v>
      </c>
      <c r="D115" t="s">
        <v>63</v>
      </c>
      <c r="E115" t="s">
        <v>64</v>
      </c>
      <c r="F115" s="54" t="s">
        <v>70</v>
      </c>
      <c r="G115" s="53">
        <v>39870</v>
      </c>
      <c r="H115">
        <v>4400</v>
      </c>
      <c r="I115" s="54">
        <v>1154</v>
      </c>
      <c r="J115" s="54">
        <v>137</v>
      </c>
      <c r="K115">
        <v>400</v>
      </c>
      <c r="L115">
        <v>2645.5</v>
      </c>
      <c r="M115">
        <v>880</v>
      </c>
      <c r="N115">
        <v>11000</v>
      </c>
      <c r="O115">
        <v>7100</v>
      </c>
      <c r="P115">
        <v>7800</v>
      </c>
      <c r="Q115" s="52">
        <f t="shared" si="7"/>
        <v>1919.3347193347192</v>
      </c>
      <c r="R115" s="52">
        <f t="shared" si="8"/>
        <v>2480.665280665281</v>
      </c>
      <c r="S115" s="52">
        <f t="shared" si="9"/>
        <v>2480.6652806652805</v>
      </c>
      <c r="T115">
        <v>-1239.4</v>
      </c>
      <c r="U115">
        <v>331.1</v>
      </c>
      <c r="V115" s="54">
        <v>1583</v>
      </c>
      <c r="W115" s="54">
        <v>1005</v>
      </c>
      <c r="AD115" t="s">
        <v>401</v>
      </c>
      <c r="AE115" t="s">
        <v>401</v>
      </c>
      <c r="AF115">
        <f t="shared" si="14"/>
        <v>3691</v>
      </c>
      <c r="AG115">
        <f>VLOOKUP('Ballast Calculator'!$D$67,'Drop down Options'!$CS$289:$CV$293,4,FALSE)*Platforms!T115/Platforms!L115</f>
        <v>-290.4660744660745</v>
      </c>
      <c r="AH115">
        <f>VLOOKUP('Ballast Calculator'!$D$67,'Drop down Options'!$CS$289:$CV$293,4,FALSE)+(VLOOKUP('Ballast Calculator'!$D$67,'Drop down Options'!$CS$289:$CV$293,4,FALSE)*T115)/L115</f>
        <v>329.5339255339255</v>
      </c>
      <c r="AI115">
        <f>VLOOKUP('Ballast Calculator'!$D$67,'Drop down Options'!$CS$289:$CV$293,4,FALSE)*(Platforms!L115+Platforms!T115)/Platforms!L115</f>
        <v>329.5339255339255</v>
      </c>
      <c r="AJ115">
        <v>-991.1</v>
      </c>
      <c r="AK115">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115">
        <f>IF(VLOOKUP('Ballast Calculator'!$D$50,'Drop down Options'!$AN$202:$AQ$210,4,FALSE)="",0,Platforms!AK115)</f>
        <v>2494.5318654318653</v>
      </c>
      <c r="AM115">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115">
        <f>IF(VLOOKUP('Ballast Calculator'!$D$50,'Drop down Options'!$AN$202:$AQ$210,4,FALSE)="",0,Platforms!AM115)</f>
        <v>-1106.2318654318653</v>
      </c>
      <c r="AO115">
        <f>VLOOKUP('Ballast Calculator'!$D$54,'Drop down Options'!$CN$277:$CR$280,5,FALSE)*Platforms!AJ115/Platforms!L115</f>
        <v>0</v>
      </c>
      <c r="AP115" s="167">
        <f>VLOOKUP('Ballast Calculator'!$D$54,'Drop down Options'!$CN$277:$CR$280,5,FALSE)+VLOOKUP('Ballast Calculator'!$D$54,'Drop down Options'!$CN$277:$CR$280,5,FALSE)*Platforms!AJ115/Platforms!L115</f>
        <v>0</v>
      </c>
      <c r="AQ115" s="167">
        <f>VLOOKUP('Ballast Calculator'!$D$54,'Drop down Options'!$CN$277:$CR$280,5,FALSE)*(Platforms!AJ115+Platforms!L115)/Platforms!L115</f>
        <v>0</v>
      </c>
      <c r="AR115">
        <f>VLOOKUP('Ballast Calculator'!$D$61,'Drop down Options'!$BW$215:$BZ$248,4,FALSE)*(Platforms!L115+Platforms!AF115)/Platforms!L115</f>
        <v>0</v>
      </c>
      <c r="AS115" s="167">
        <f>-AR115+VLOOKUP('Ballast Calculator'!$D$61,'Drop down Options'!$BW$215:$BZ$248,4,FALSE)</f>
        <v>0</v>
      </c>
      <c r="AT115" s="167">
        <f>-VLOOKUP('Ballast Calculator'!$D$61,'Drop down Options'!$BW$215:$BZ$248,4,FALSE)*Platforms!AF115/Platforms!L115</f>
        <v>0</v>
      </c>
      <c r="AU115">
        <v>0</v>
      </c>
      <c r="AV115">
        <f>VLOOKUP('Ballast Calculator'!$D$64,'Drop down Options'!$CF$253:$CI$272,4,FALSE)</f>
        <v>77</v>
      </c>
      <c r="AW115">
        <f>VLOOKUP('Ballast Calculator'!$D$67,'Drop down Options'!$CS$289:$CV$293,4,FALSE)*Platforms!AZ115/Platforms!L115</f>
        <v>-301.7388017388017</v>
      </c>
      <c r="AX115">
        <f>AW115+VLOOKUP('Ballast Calculator'!$D$67,'Drop down Options'!$CS$289:$CV$293,4,FALSE)</f>
        <v>318.2611982611983</v>
      </c>
      <c r="AY115">
        <f>VLOOKUP('Ballast Calculator'!$D$67,'Drop down Options'!$CS$289:$CV$293,4,FALSE)*(Platforms!AZ115+Platforms!L115)/Platforms!L115</f>
        <v>318.2611982611983</v>
      </c>
      <c r="AZ115">
        <f t="shared" si="13"/>
        <v>-1287.5</v>
      </c>
    </row>
    <row r="116" spans="1:52" ht="12.75">
      <c r="A116" s="52" t="str">
        <f t="shared" si="12"/>
        <v>7330PremiumMFWDPQ+</v>
      </c>
      <c r="B116">
        <v>114</v>
      </c>
      <c r="C116" t="s">
        <v>79</v>
      </c>
      <c r="D116" t="s">
        <v>71</v>
      </c>
      <c r="E116" t="s">
        <v>64</v>
      </c>
      <c r="F116" t="s">
        <v>69</v>
      </c>
      <c r="G116" s="53">
        <v>39870</v>
      </c>
      <c r="H116">
        <v>6000</v>
      </c>
      <c r="I116" s="54">
        <v>1154</v>
      </c>
      <c r="J116" s="54">
        <v>137</v>
      </c>
      <c r="K116">
        <v>400</v>
      </c>
      <c r="L116">
        <v>2645.5</v>
      </c>
      <c r="M116">
        <v>880</v>
      </c>
      <c r="N116">
        <v>11000</v>
      </c>
      <c r="O116">
        <v>7100</v>
      </c>
      <c r="P116">
        <v>7800</v>
      </c>
      <c r="Q116" s="52">
        <f t="shared" si="7"/>
        <v>2617.2746172746174</v>
      </c>
      <c r="R116" s="52">
        <f t="shared" si="8"/>
        <v>3382.7253827253826</v>
      </c>
      <c r="S116" s="52">
        <f t="shared" si="9"/>
        <v>3382.7253827253826</v>
      </c>
      <c r="T116">
        <v>-1239.4</v>
      </c>
      <c r="U116">
        <v>331.1</v>
      </c>
      <c r="V116" s="54">
        <v>1583</v>
      </c>
      <c r="W116" s="54">
        <v>1005</v>
      </c>
      <c r="AD116" t="s">
        <v>401</v>
      </c>
      <c r="AE116" t="s">
        <v>401</v>
      </c>
      <c r="AF116">
        <f t="shared" si="14"/>
        <v>3691</v>
      </c>
      <c r="AG116">
        <f>VLOOKUP('Ballast Calculator'!$D$67,'Drop down Options'!$CS$289:$CV$293,4,FALSE)*Platforms!T116/Platforms!L116</f>
        <v>-290.4660744660745</v>
      </c>
      <c r="AH116">
        <f>VLOOKUP('Ballast Calculator'!$D$67,'Drop down Options'!$CS$289:$CV$293,4,FALSE)+(VLOOKUP('Ballast Calculator'!$D$67,'Drop down Options'!$CS$289:$CV$293,4,FALSE)*T116)/L116</f>
        <v>329.5339255339255</v>
      </c>
      <c r="AI116">
        <f>VLOOKUP('Ballast Calculator'!$D$67,'Drop down Options'!$CS$289:$CV$293,4,FALSE)*(Platforms!L116+Platforms!T116)/Platforms!L116</f>
        <v>329.5339255339255</v>
      </c>
      <c r="AJ116">
        <v>-991.1</v>
      </c>
      <c r="AK116">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116">
        <f>IF(VLOOKUP('Ballast Calculator'!$D$50,'Drop down Options'!$AN$202:$AQ$210,4,FALSE)="",0,Platforms!AK116)</f>
        <v>2494.5318654318653</v>
      </c>
      <c r="AM116">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116">
        <f>IF(VLOOKUP('Ballast Calculator'!$D$50,'Drop down Options'!$AN$202:$AQ$210,4,FALSE)="",0,Platforms!AM116)</f>
        <v>-1106.2318654318653</v>
      </c>
      <c r="AO116">
        <f>VLOOKUP('Ballast Calculator'!$D$54,'Drop down Options'!$CN$277:$CR$280,5,FALSE)*Platforms!AJ116/Platforms!L116</f>
        <v>0</v>
      </c>
      <c r="AP116" s="167">
        <f>VLOOKUP('Ballast Calculator'!$D$54,'Drop down Options'!$CN$277:$CR$280,5,FALSE)+VLOOKUP('Ballast Calculator'!$D$54,'Drop down Options'!$CN$277:$CR$280,5,FALSE)*Platforms!AJ116/Platforms!L116</f>
        <v>0</v>
      </c>
      <c r="AQ116" s="167">
        <f>VLOOKUP('Ballast Calculator'!$D$54,'Drop down Options'!$CN$277:$CR$280,5,FALSE)*(Platforms!AJ116+Platforms!L116)/Platforms!L116</f>
        <v>0</v>
      </c>
      <c r="AR116">
        <f>VLOOKUP('Ballast Calculator'!$D$61,'Drop down Options'!$BW$215:$BZ$248,4,FALSE)*(Platforms!L116+Platforms!AF116)/Platforms!L116</f>
        <v>0</v>
      </c>
      <c r="AS116" s="167">
        <f>-AR116+VLOOKUP('Ballast Calculator'!$D$61,'Drop down Options'!$BW$215:$BZ$248,4,FALSE)</f>
        <v>0</v>
      </c>
      <c r="AT116" s="167">
        <f>-VLOOKUP('Ballast Calculator'!$D$61,'Drop down Options'!$BW$215:$BZ$248,4,FALSE)*Platforms!AF116/Platforms!L116</f>
        <v>0</v>
      </c>
      <c r="AU116">
        <v>0</v>
      </c>
      <c r="AV116">
        <f>VLOOKUP('Ballast Calculator'!$D$64,'Drop down Options'!$CF$253:$CI$272,4,FALSE)</f>
        <v>77</v>
      </c>
      <c r="AW116">
        <f>VLOOKUP('Ballast Calculator'!$D$67,'Drop down Options'!$CS$289:$CV$293,4,FALSE)*Platforms!AZ116/Platforms!L116</f>
        <v>-301.7388017388017</v>
      </c>
      <c r="AX116">
        <f>AW116+VLOOKUP('Ballast Calculator'!$D$67,'Drop down Options'!$CS$289:$CV$293,4,FALSE)</f>
        <v>318.2611982611983</v>
      </c>
      <c r="AY116">
        <f>VLOOKUP('Ballast Calculator'!$D$67,'Drop down Options'!$CS$289:$CV$293,4,FALSE)*(Platforms!AZ116+Platforms!L116)/Platforms!L116</f>
        <v>318.2611982611983</v>
      </c>
      <c r="AZ116">
        <f t="shared" si="13"/>
        <v>-1287.5</v>
      </c>
    </row>
    <row r="117" spans="1:52" ht="12.75">
      <c r="A117" s="52" t="str">
        <f t="shared" si="12"/>
        <v>7330PremiumMFWDAQ+</v>
      </c>
      <c r="B117">
        <v>115</v>
      </c>
      <c r="C117" t="s">
        <v>79</v>
      </c>
      <c r="D117" t="s">
        <v>71</v>
      </c>
      <c r="E117" t="s">
        <v>64</v>
      </c>
      <c r="F117" t="s">
        <v>72</v>
      </c>
      <c r="G117" s="53">
        <v>39870</v>
      </c>
      <c r="H117">
        <v>6000</v>
      </c>
      <c r="I117" s="54">
        <v>1154</v>
      </c>
      <c r="J117" s="54">
        <v>137</v>
      </c>
      <c r="K117">
        <v>400</v>
      </c>
      <c r="L117">
        <v>2645.5</v>
      </c>
      <c r="M117">
        <v>880</v>
      </c>
      <c r="N117">
        <v>11000</v>
      </c>
      <c r="O117">
        <v>7100</v>
      </c>
      <c r="P117">
        <v>7800</v>
      </c>
      <c r="Q117" s="52">
        <f t="shared" si="7"/>
        <v>2617.2746172746174</v>
      </c>
      <c r="R117" s="52">
        <f t="shared" si="8"/>
        <v>3382.7253827253826</v>
      </c>
      <c r="S117" s="52">
        <f t="shared" si="9"/>
        <v>3382.7253827253826</v>
      </c>
      <c r="T117">
        <v>-1239.4</v>
      </c>
      <c r="U117">
        <v>331.1</v>
      </c>
      <c r="V117" s="54">
        <v>1583</v>
      </c>
      <c r="W117" s="54">
        <v>1005</v>
      </c>
      <c r="AD117" t="s">
        <v>401</v>
      </c>
      <c r="AE117" t="s">
        <v>401</v>
      </c>
      <c r="AF117">
        <f t="shared" si="14"/>
        <v>3691</v>
      </c>
      <c r="AG117">
        <f>VLOOKUP('Ballast Calculator'!$D$67,'Drop down Options'!$CS$289:$CV$293,4,FALSE)*Platforms!T117/Platforms!L117</f>
        <v>-290.4660744660745</v>
      </c>
      <c r="AH117">
        <f>VLOOKUP('Ballast Calculator'!$D$67,'Drop down Options'!$CS$289:$CV$293,4,FALSE)+(VLOOKUP('Ballast Calculator'!$D$67,'Drop down Options'!$CS$289:$CV$293,4,FALSE)*T117)/L117</f>
        <v>329.5339255339255</v>
      </c>
      <c r="AI117">
        <f>VLOOKUP('Ballast Calculator'!$D$67,'Drop down Options'!$CS$289:$CV$293,4,FALSE)*(Platforms!L117+Platforms!T117)/Platforms!L117</f>
        <v>329.5339255339255</v>
      </c>
      <c r="AJ117">
        <v>-991.1</v>
      </c>
      <c r="AK117">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117">
        <f>IF(VLOOKUP('Ballast Calculator'!$D$50,'Drop down Options'!$AN$202:$AQ$210,4,FALSE)="",0,Platforms!AK117)</f>
        <v>2494.5318654318653</v>
      </c>
      <c r="AM117">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117">
        <f>IF(VLOOKUP('Ballast Calculator'!$D$50,'Drop down Options'!$AN$202:$AQ$210,4,FALSE)="",0,Platforms!AM117)</f>
        <v>-1106.2318654318653</v>
      </c>
      <c r="AO117">
        <f>VLOOKUP('Ballast Calculator'!$D$54,'Drop down Options'!$CN$277:$CR$280,5,FALSE)*Platforms!AJ117/Platforms!L117</f>
        <v>0</v>
      </c>
      <c r="AP117" s="167">
        <f>VLOOKUP('Ballast Calculator'!$D$54,'Drop down Options'!$CN$277:$CR$280,5,FALSE)+VLOOKUP('Ballast Calculator'!$D$54,'Drop down Options'!$CN$277:$CR$280,5,FALSE)*Platforms!AJ117/Platforms!L117</f>
        <v>0</v>
      </c>
      <c r="AQ117" s="167">
        <f>VLOOKUP('Ballast Calculator'!$D$54,'Drop down Options'!$CN$277:$CR$280,5,FALSE)*(Platforms!AJ117+Platforms!L117)/Platforms!L117</f>
        <v>0</v>
      </c>
      <c r="AR117">
        <f>VLOOKUP('Ballast Calculator'!$D$61,'Drop down Options'!$BW$215:$BZ$248,4,FALSE)*(Platforms!L117+Platforms!AF117)/Platforms!L117</f>
        <v>0</v>
      </c>
      <c r="AS117" s="167">
        <f>-AR117+VLOOKUP('Ballast Calculator'!$D$61,'Drop down Options'!$BW$215:$BZ$248,4,FALSE)</f>
        <v>0</v>
      </c>
      <c r="AT117" s="167">
        <f>-VLOOKUP('Ballast Calculator'!$D$61,'Drop down Options'!$BW$215:$BZ$248,4,FALSE)*Platforms!AF117/Platforms!L117</f>
        <v>0</v>
      </c>
      <c r="AU117">
        <v>0</v>
      </c>
      <c r="AV117">
        <f>VLOOKUP('Ballast Calculator'!$D$64,'Drop down Options'!$CF$253:$CI$272,4,FALSE)</f>
        <v>77</v>
      </c>
      <c r="AW117">
        <f>VLOOKUP('Ballast Calculator'!$D$67,'Drop down Options'!$CS$289:$CV$293,4,FALSE)*Platforms!AZ117/Platforms!L117</f>
        <v>-301.7388017388017</v>
      </c>
      <c r="AX117">
        <f>AW117+VLOOKUP('Ballast Calculator'!$D$67,'Drop down Options'!$CS$289:$CV$293,4,FALSE)</f>
        <v>318.2611982611983</v>
      </c>
      <c r="AY117">
        <f>VLOOKUP('Ballast Calculator'!$D$67,'Drop down Options'!$CS$289:$CV$293,4,FALSE)*(Platforms!AZ117+Platforms!L117)/Platforms!L117</f>
        <v>318.2611982611983</v>
      </c>
      <c r="AZ117">
        <f t="shared" si="13"/>
        <v>-1287.5</v>
      </c>
    </row>
    <row r="118" spans="1:52" ht="12.75">
      <c r="A118" s="52" t="str">
        <f t="shared" si="12"/>
        <v>7330PremiumMFWDIVT</v>
      </c>
      <c r="B118">
        <v>116</v>
      </c>
      <c r="C118" t="s">
        <v>79</v>
      </c>
      <c r="D118" t="s">
        <v>71</v>
      </c>
      <c r="E118" t="s">
        <v>64</v>
      </c>
      <c r="F118" t="s">
        <v>75</v>
      </c>
      <c r="G118" s="53">
        <v>39870</v>
      </c>
      <c r="H118">
        <v>6000</v>
      </c>
      <c r="I118" s="54">
        <v>1154</v>
      </c>
      <c r="J118" s="54">
        <v>137</v>
      </c>
      <c r="K118">
        <v>400</v>
      </c>
      <c r="L118">
        <v>2645.5</v>
      </c>
      <c r="M118">
        <v>880</v>
      </c>
      <c r="N118">
        <v>11000</v>
      </c>
      <c r="O118">
        <v>7100</v>
      </c>
      <c r="P118">
        <v>7800</v>
      </c>
      <c r="Q118" s="52">
        <f t="shared" si="7"/>
        <v>2617.2746172746174</v>
      </c>
      <c r="R118" s="52">
        <f t="shared" si="8"/>
        <v>3382.7253827253826</v>
      </c>
      <c r="S118" s="52">
        <f t="shared" si="9"/>
        <v>3382.7253827253826</v>
      </c>
      <c r="T118">
        <v>-1239.4</v>
      </c>
      <c r="U118">
        <v>331.1</v>
      </c>
      <c r="V118" s="54">
        <v>1583</v>
      </c>
      <c r="W118" s="54">
        <v>1005</v>
      </c>
      <c r="AD118" t="s">
        <v>401</v>
      </c>
      <c r="AE118" t="s">
        <v>401</v>
      </c>
      <c r="AF118">
        <f t="shared" si="14"/>
        <v>3691</v>
      </c>
      <c r="AG118">
        <f>VLOOKUP('Ballast Calculator'!$D$67,'Drop down Options'!$CS$289:$CV$293,4,FALSE)*Platforms!T118/Platforms!L118</f>
        <v>-290.4660744660745</v>
      </c>
      <c r="AH118">
        <f>VLOOKUP('Ballast Calculator'!$D$67,'Drop down Options'!$CS$289:$CV$293,4,FALSE)+(VLOOKUP('Ballast Calculator'!$D$67,'Drop down Options'!$CS$289:$CV$293,4,FALSE)*T118)/L118</f>
        <v>329.5339255339255</v>
      </c>
      <c r="AI118">
        <f>VLOOKUP('Ballast Calculator'!$D$67,'Drop down Options'!$CS$289:$CV$293,4,FALSE)*(Platforms!L118+Platforms!T118)/Platforms!L118</f>
        <v>329.5339255339255</v>
      </c>
      <c r="AJ118">
        <v>-991.1</v>
      </c>
      <c r="AK118">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118">
        <f>IF(VLOOKUP('Ballast Calculator'!$D$50,'Drop down Options'!$AN$202:$AQ$210,4,FALSE)="",0,Platforms!AK118)</f>
        <v>2494.5318654318653</v>
      </c>
      <c r="AM118">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118">
        <f>IF(VLOOKUP('Ballast Calculator'!$D$50,'Drop down Options'!$AN$202:$AQ$210,4,FALSE)="",0,Platforms!AM118)</f>
        <v>-1106.2318654318653</v>
      </c>
      <c r="AO118">
        <f>VLOOKUP('Ballast Calculator'!$D$54,'Drop down Options'!$CN$277:$CR$280,5,FALSE)*Platforms!AJ118/Platforms!L118</f>
        <v>0</v>
      </c>
      <c r="AP118" s="167">
        <f>VLOOKUP('Ballast Calculator'!$D$54,'Drop down Options'!$CN$277:$CR$280,5,FALSE)+VLOOKUP('Ballast Calculator'!$D$54,'Drop down Options'!$CN$277:$CR$280,5,FALSE)*Platforms!AJ118/Platforms!L118</f>
        <v>0</v>
      </c>
      <c r="AQ118" s="167">
        <f>VLOOKUP('Ballast Calculator'!$D$54,'Drop down Options'!$CN$277:$CR$280,5,FALSE)*(Platforms!AJ118+Platforms!L118)/Platforms!L118</f>
        <v>0</v>
      </c>
      <c r="AR118">
        <f>VLOOKUP('Ballast Calculator'!$D$61,'Drop down Options'!$BW$215:$BZ$248,4,FALSE)*(Platforms!L118+Platforms!AF118)/Platforms!L118</f>
        <v>0</v>
      </c>
      <c r="AS118" s="167">
        <f>-AR118+VLOOKUP('Ballast Calculator'!$D$61,'Drop down Options'!$BW$215:$BZ$248,4,FALSE)</f>
        <v>0</v>
      </c>
      <c r="AT118" s="167">
        <f>-VLOOKUP('Ballast Calculator'!$D$61,'Drop down Options'!$BW$215:$BZ$248,4,FALSE)*Platforms!AF118/Platforms!L118</f>
        <v>0</v>
      </c>
      <c r="AU118">
        <v>0</v>
      </c>
      <c r="AV118">
        <f>VLOOKUP('Ballast Calculator'!$D$64,'Drop down Options'!$CF$253:$CI$272,4,FALSE)</f>
        <v>77</v>
      </c>
      <c r="AW118">
        <f>VLOOKUP('Ballast Calculator'!$D$67,'Drop down Options'!$CS$289:$CV$293,4,FALSE)*Platforms!AZ118/Platforms!L118</f>
        <v>-301.7388017388017</v>
      </c>
      <c r="AX118">
        <f>AW118+VLOOKUP('Ballast Calculator'!$D$67,'Drop down Options'!$CS$289:$CV$293,4,FALSE)</f>
        <v>318.2611982611983</v>
      </c>
      <c r="AY118">
        <f>VLOOKUP('Ballast Calculator'!$D$67,'Drop down Options'!$CS$289:$CV$293,4,FALSE)*(Platforms!AZ118+Platforms!L118)/Platforms!L118</f>
        <v>318.2611982611983</v>
      </c>
      <c r="AZ118">
        <f t="shared" si="13"/>
        <v>-1287.5</v>
      </c>
    </row>
    <row r="119" spans="1:52" ht="12.75">
      <c r="A119" s="52" t="str">
        <f t="shared" si="12"/>
        <v>7330PremiumMFWD TLSPQ+</v>
      </c>
      <c r="B119">
        <v>117</v>
      </c>
      <c r="C119" t="s">
        <v>79</v>
      </c>
      <c r="D119" t="s">
        <v>71</v>
      </c>
      <c r="E119" t="s">
        <v>73</v>
      </c>
      <c r="F119" t="s">
        <v>69</v>
      </c>
      <c r="G119" s="53">
        <v>39870</v>
      </c>
      <c r="H119">
        <v>6000</v>
      </c>
      <c r="I119" s="54">
        <v>1154</v>
      </c>
      <c r="J119" s="54">
        <v>137</v>
      </c>
      <c r="K119" s="54">
        <v>450</v>
      </c>
      <c r="L119" s="54">
        <v>2645.5</v>
      </c>
      <c r="M119">
        <v>880</v>
      </c>
      <c r="N119">
        <v>11000</v>
      </c>
      <c r="O119">
        <v>7100</v>
      </c>
      <c r="P119">
        <v>7800</v>
      </c>
      <c r="Q119" s="52">
        <f t="shared" si="7"/>
        <v>2617.2746172746174</v>
      </c>
      <c r="R119" s="52">
        <f t="shared" si="8"/>
        <v>3382.7253827253826</v>
      </c>
      <c r="S119" s="52">
        <f t="shared" si="9"/>
        <v>3382.7253827253826</v>
      </c>
      <c r="T119">
        <v>-1239.4</v>
      </c>
      <c r="U119">
        <v>331.1</v>
      </c>
      <c r="V119" s="54">
        <v>1583</v>
      </c>
      <c r="W119" s="54">
        <v>1005</v>
      </c>
      <c r="AD119" t="s">
        <v>401</v>
      </c>
      <c r="AE119" t="s">
        <v>401</v>
      </c>
      <c r="AF119">
        <f t="shared" si="14"/>
        <v>3691</v>
      </c>
      <c r="AG119">
        <f>VLOOKUP('Ballast Calculator'!$D$67,'Drop down Options'!$CS$289:$CV$293,4,FALSE)*Platforms!T119/Platforms!L119</f>
        <v>-290.4660744660745</v>
      </c>
      <c r="AH119">
        <f>VLOOKUP('Ballast Calculator'!$D$67,'Drop down Options'!$CS$289:$CV$293,4,FALSE)+(VLOOKUP('Ballast Calculator'!$D$67,'Drop down Options'!$CS$289:$CV$293,4,FALSE)*T119)/L119</f>
        <v>329.5339255339255</v>
      </c>
      <c r="AI119">
        <f>VLOOKUP('Ballast Calculator'!$D$67,'Drop down Options'!$CS$289:$CV$293,4,FALSE)*(Platforms!L119+Platforms!T119)/Platforms!L119</f>
        <v>329.5339255339255</v>
      </c>
      <c r="AJ119">
        <v>-991.1</v>
      </c>
      <c r="AK119">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119">
        <f>IF(VLOOKUP('Ballast Calculator'!$D$50,'Drop down Options'!$AN$202:$AQ$210,4,FALSE)="",0,Platforms!AK119)</f>
        <v>2494.5318654318653</v>
      </c>
      <c r="AM119">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119">
        <f>IF(VLOOKUP('Ballast Calculator'!$D$50,'Drop down Options'!$AN$202:$AQ$210,4,FALSE)="",0,Platforms!AM119)</f>
        <v>-1106.2318654318653</v>
      </c>
      <c r="AO119">
        <f>VLOOKUP('Ballast Calculator'!$D$54,'Drop down Options'!$CN$277:$CR$280,5,FALSE)*Platforms!AJ119/Platforms!L119</f>
        <v>0</v>
      </c>
      <c r="AP119" s="167">
        <f>VLOOKUP('Ballast Calculator'!$D$54,'Drop down Options'!$CN$277:$CR$280,5,FALSE)+VLOOKUP('Ballast Calculator'!$D$54,'Drop down Options'!$CN$277:$CR$280,5,FALSE)*Platforms!AJ119/Platforms!L119</f>
        <v>0</v>
      </c>
      <c r="AQ119" s="167">
        <f>VLOOKUP('Ballast Calculator'!$D$54,'Drop down Options'!$CN$277:$CR$280,5,FALSE)*(Platforms!AJ119+Platforms!L119)/Platforms!L119</f>
        <v>0</v>
      </c>
      <c r="AR119">
        <f>VLOOKUP('Ballast Calculator'!$D$61,'Drop down Options'!$BW$215:$BZ$248,4,FALSE)*(Platforms!L119+Platforms!AF119)/Platforms!L119</f>
        <v>0</v>
      </c>
      <c r="AS119" s="167">
        <f>-AR119+VLOOKUP('Ballast Calculator'!$D$61,'Drop down Options'!$BW$215:$BZ$248,4,FALSE)</f>
        <v>0</v>
      </c>
      <c r="AT119" s="167">
        <f>-VLOOKUP('Ballast Calculator'!$D$61,'Drop down Options'!$BW$215:$BZ$248,4,FALSE)*Platforms!AF119/Platforms!L119</f>
        <v>0</v>
      </c>
      <c r="AU119">
        <v>0</v>
      </c>
      <c r="AV119">
        <f>VLOOKUP('Ballast Calculator'!$D$64,'Drop down Options'!$CF$253:$CI$272,4,FALSE)</f>
        <v>77</v>
      </c>
      <c r="AW119">
        <f>VLOOKUP('Ballast Calculator'!$D$67,'Drop down Options'!$CS$289:$CV$293,4,FALSE)*Platforms!AZ119/Platforms!L119</f>
        <v>-301.7388017388017</v>
      </c>
      <c r="AX119">
        <f>AW119+VLOOKUP('Ballast Calculator'!$D$67,'Drop down Options'!$CS$289:$CV$293,4,FALSE)</f>
        <v>318.2611982611983</v>
      </c>
      <c r="AY119">
        <f>VLOOKUP('Ballast Calculator'!$D$67,'Drop down Options'!$CS$289:$CV$293,4,FALSE)*(Platforms!AZ119+Platforms!L119)/Platforms!L119</f>
        <v>318.2611982611983</v>
      </c>
      <c r="AZ119">
        <f t="shared" si="13"/>
        <v>-1287.5</v>
      </c>
    </row>
    <row r="120" spans="1:52" ht="12.75">
      <c r="A120" s="52" t="str">
        <f t="shared" si="12"/>
        <v>7330PremiumMFWD TLSAQ+</v>
      </c>
      <c r="B120">
        <v>118</v>
      </c>
      <c r="C120" t="s">
        <v>79</v>
      </c>
      <c r="D120" t="s">
        <v>71</v>
      </c>
      <c r="E120" t="s">
        <v>73</v>
      </c>
      <c r="F120" t="s">
        <v>72</v>
      </c>
      <c r="G120" s="53">
        <v>39870</v>
      </c>
      <c r="H120">
        <v>6000</v>
      </c>
      <c r="I120" s="54">
        <v>1154</v>
      </c>
      <c r="J120" s="54">
        <v>137</v>
      </c>
      <c r="K120" s="54">
        <v>450</v>
      </c>
      <c r="L120" s="54">
        <v>2645.5</v>
      </c>
      <c r="M120">
        <v>880</v>
      </c>
      <c r="N120">
        <v>11000</v>
      </c>
      <c r="O120">
        <v>7100</v>
      </c>
      <c r="P120">
        <v>7800</v>
      </c>
      <c r="Q120" s="52">
        <f t="shared" si="7"/>
        <v>2617.2746172746174</v>
      </c>
      <c r="R120" s="52">
        <f t="shared" si="8"/>
        <v>3382.7253827253826</v>
      </c>
      <c r="S120" s="52">
        <f t="shared" si="9"/>
        <v>3382.7253827253826</v>
      </c>
      <c r="T120">
        <v>-1239.4</v>
      </c>
      <c r="U120">
        <v>331.1</v>
      </c>
      <c r="V120" s="54">
        <v>1583</v>
      </c>
      <c r="W120" s="54">
        <v>1005</v>
      </c>
      <c r="AD120" t="s">
        <v>401</v>
      </c>
      <c r="AE120" t="s">
        <v>401</v>
      </c>
      <c r="AF120">
        <f t="shared" si="14"/>
        <v>3691</v>
      </c>
      <c r="AG120">
        <f>VLOOKUP('Ballast Calculator'!$D$67,'Drop down Options'!$CS$289:$CV$293,4,FALSE)*Platforms!T120/Platforms!L120</f>
        <v>-290.4660744660745</v>
      </c>
      <c r="AH120">
        <f>VLOOKUP('Ballast Calculator'!$D$67,'Drop down Options'!$CS$289:$CV$293,4,FALSE)+(VLOOKUP('Ballast Calculator'!$D$67,'Drop down Options'!$CS$289:$CV$293,4,FALSE)*T120)/L120</f>
        <v>329.5339255339255</v>
      </c>
      <c r="AI120">
        <f>VLOOKUP('Ballast Calculator'!$D$67,'Drop down Options'!$CS$289:$CV$293,4,FALSE)*(Platforms!L120+Platforms!T120)/Platforms!L120</f>
        <v>329.5339255339255</v>
      </c>
      <c r="AJ120">
        <v>-991.1</v>
      </c>
      <c r="AK120">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120">
        <f>IF(VLOOKUP('Ballast Calculator'!$D$50,'Drop down Options'!$AN$202:$AQ$210,4,FALSE)="",0,Platforms!AK120)</f>
        <v>2494.5318654318653</v>
      </c>
      <c r="AM120">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120">
        <f>IF(VLOOKUP('Ballast Calculator'!$D$50,'Drop down Options'!$AN$202:$AQ$210,4,FALSE)="",0,Platforms!AM120)</f>
        <v>-1106.2318654318653</v>
      </c>
      <c r="AO120">
        <f>VLOOKUP('Ballast Calculator'!$D$54,'Drop down Options'!$CN$277:$CR$280,5,FALSE)*Platforms!AJ120/Platforms!L120</f>
        <v>0</v>
      </c>
      <c r="AP120" s="167">
        <f>VLOOKUP('Ballast Calculator'!$D$54,'Drop down Options'!$CN$277:$CR$280,5,FALSE)+VLOOKUP('Ballast Calculator'!$D$54,'Drop down Options'!$CN$277:$CR$280,5,FALSE)*Platforms!AJ120/Platforms!L120</f>
        <v>0</v>
      </c>
      <c r="AQ120" s="167">
        <f>VLOOKUP('Ballast Calculator'!$D$54,'Drop down Options'!$CN$277:$CR$280,5,FALSE)*(Platforms!AJ120+Platforms!L120)/Platforms!L120</f>
        <v>0</v>
      </c>
      <c r="AR120">
        <f>VLOOKUP('Ballast Calculator'!$D$61,'Drop down Options'!$BW$215:$BZ$248,4,FALSE)*(Platforms!L120+Platforms!AF120)/Platforms!L120</f>
        <v>0</v>
      </c>
      <c r="AS120" s="167">
        <f>-AR120+VLOOKUP('Ballast Calculator'!$D$61,'Drop down Options'!$BW$215:$BZ$248,4,FALSE)</f>
        <v>0</v>
      </c>
      <c r="AT120" s="167">
        <f>-VLOOKUP('Ballast Calculator'!$D$61,'Drop down Options'!$BW$215:$BZ$248,4,FALSE)*Platforms!AF120/Platforms!L120</f>
        <v>0</v>
      </c>
      <c r="AU120">
        <v>0</v>
      </c>
      <c r="AV120">
        <f>VLOOKUP('Ballast Calculator'!$D$64,'Drop down Options'!$CF$253:$CI$272,4,FALSE)</f>
        <v>77</v>
      </c>
      <c r="AW120">
        <f>VLOOKUP('Ballast Calculator'!$D$67,'Drop down Options'!$CS$289:$CV$293,4,FALSE)*Platforms!AZ120/Platforms!L120</f>
        <v>-301.7388017388017</v>
      </c>
      <c r="AX120">
        <f>AW120+VLOOKUP('Ballast Calculator'!$D$67,'Drop down Options'!$CS$289:$CV$293,4,FALSE)</f>
        <v>318.2611982611983</v>
      </c>
      <c r="AY120">
        <f>VLOOKUP('Ballast Calculator'!$D$67,'Drop down Options'!$CS$289:$CV$293,4,FALSE)*(Platforms!AZ120+Platforms!L120)/Platforms!L120</f>
        <v>318.2611982611983</v>
      </c>
      <c r="AZ120">
        <f t="shared" si="13"/>
        <v>-1287.5</v>
      </c>
    </row>
    <row r="121" spans="1:52" ht="12.75">
      <c r="A121" s="52" t="str">
        <f t="shared" si="12"/>
        <v>7330PremiumMFWD TLSIVT</v>
      </c>
      <c r="B121">
        <v>119</v>
      </c>
      <c r="C121" t="s">
        <v>79</v>
      </c>
      <c r="D121" t="s">
        <v>71</v>
      </c>
      <c r="E121" t="s">
        <v>73</v>
      </c>
      <c r="F121" t="s">
        <v>75</v>
      </c>
      <c r="G121" s="53">
        <v>39870</v>
      </c>
      <c r="H121">
        <v>6000</v>
      </c>
      <c r="I121" s="54">
        <v>1154</v>
      </c>
      <c r="J121" s="54">
        <v>137</v>
      </c>
      <c r="K121" s="54">
        <v>450</v>
      </c>
      <c r="L121" s="54">
        <v>2645.5</v>
      </c>
      <c r="M121">
        <v>880</v>
      </c>
      <c r="N121">
        <v>11000</v>
      </c>
      <c r="O121">
        <v>7100</v>
      </c>
      <c r="P121">
        <v>7800</v>
      </c>
      <c r="Q121" s="52">
        <f t="shared" si="7"/>
        <v>2617.2746172746174</v>
      </c>
      <c r="R121" s="52">
        <f t="shared" si="8"/>
        <v>3382.7253827253826</v>
      </c>
      <c r="S121" s="52">
        <f t="shared" si="9"/>
        <v>3382.7253827253826</v>
      </c>
      <c r="T121">
        <v>-1239.4</v>
      </c>
      <c r="U121">
        <v>331.1</v>
      </c>
      <c r="V121" s="54">
        <v>1583</v>
      </c>
      <c r="W121" s="54">
        <v>1005</v>
      </c>
      <c r="AD121" t="s">
        <v>401</v>
      </c>
      <c r="AE121" t="s">
        <v>401</v>
      </c>
      <c r="AF121">
        <f t="shared" si="14"/>
        <v>3691</v>
      </c>
      <c r="AG121">
        <f>VLOOKUP('Ballast Calculator'!$D$67,'Drop down Options'!$CS$289:$CV$293,4,FALSE)*Platforms!T121/Platforms!L121</f>
        <v>-290.4660744660745</v>
      </c>
      <c r="AH121">
        <f>VLOOKUP('Ballast Calculator'!$D$67,'Drop down Options'!$CS$289:$CV$293,4,FALSE)+(VLOOKUP('Ballast Calculator'!$D$67,'Drop down Options'!$CS$289:$CV$293,4,FALSE)*T121)/L121</f>
        <v>329.5339255339255</v>
      </c>
      <c r="AI121">
        <f>VLOOKUP('Ballast Calculator'!$D$67,'Drop down Options'!$CS$289:$CV$293,4,FALSE)*(Platforms!L121+Platforms!T121)/Platforms!L121</f>
        <v>329.5339255339255</v>
      </c>
      <c r="AJ121">
        <v>-991.1</v>
      </c>
      <c r="AK121">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121">
        <f>IF(VLOOKUP('Ballast Calculator'!$D$50,'Drop down Options'!$AN$202:$AQ$210,4,FALSE)="",0,Platforms!AK121)</f>
        <v>2494.5318654318653</v>
      </c>
      <c r="AM121">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121">
        <f>IF(VLOOKUP('Ballast Calculator'!$D$50,'Drop down Options'!$AN$202:$AQ$210,4,FALSE)="",0,Platforms!AM121)</f>
        <v>-1106.2318654318653</v>
      </c>
      <c r="AO121">
        <f>VLOOKUP('Ballast Calculator'!$D$54,'Drop down Options'!$CN$277:$CR$280,5,FALSE)*Platforms!AJ121/Platforms!L121</f>
        <v>0</v>
      </c>
      <c r="AP121" s="167">
        <f>VLOOKUP('Ballast Calculator'!$D$54,'Drop down Options'!$CN$277:$CR$280,5,FALSE)+VLOOKUP('Ballast Calculator'!$D$54,'Drop down Options'!$CN$277:$CR$280,5,FALSE)*Platforms!AJ121/Platforms!L121</f>
        <v>0</v>
      </c>
      <c r="AQ121" s="167">
        <f>VLOOKUP('Ballast Calculator'!$D$54,'Drop down Options'!$CN$277:$CR$280,5,FALSE)*(Platforms!AJ121+Platforms!L121)/Platforms!L121</f>
        <v>0</v>
      </c>
      <c r="AR121">
        <f>VLOOKUP('Ballast Calculator'!$D$61,'Drop down Options'!$BW$215:$BZ$248,4,FALSE)*(Platforms!L121+Platforms!AF121)/Platforms!L121</f>
        <v>0</v>
      </c>
      <c r="AS121" s="167">
        <f>-AR121+VLOOKUP('Ballast Calculator'!$D$61,'Drop down Options'!$BW$215:$BZ$248,4,FALSE)</f>
        <v>0</v>
      </c>
      <c r="AT121" s="167">
        <f>-VLOOKUP('Ballast Calculator'!$D$61,'Drop down Options'!$BW$215:$BZ$248,4,FALSE)*Platforms!AF121/Platforms!L121</f>
        <v>0</v>
      </c>
      <c r="AU121">
        <v>0</v>
      </c>
      <c r="AV121">
        <f>VLOOKUP('Ballast Calculator'!$D$64,'Drop down Options'!$CF$253:$CI$272,4,FALSE)</f>
        <v>77</v>
      </c>
      <c r="AW121">
        <f>VLOOKUP('Ballast Calculator'!$D$67,'Drop down Options'!$CS$289:$CV$293,4,FALSE)*Platforms!AZ121/Platforms!L121</f>
        <v>-301.7388017388017</v>
      </c>
      <c r="AX121">
        <f>AW121+VLOOKUP('Ballast Calculator'!$D$67,'Drop down Options'!$CS$289:$CV$293,4,FALSE)</f>
        <v>318.2611982611983</v>
      </c>
      <c r="AY121">
        <f>VLOOKUP('Ballast Calculator'!$D$67,'Drop down Options'!$CS$289:$CV$293,4,FALSE)*(Platforms!AZ121+Platforms!L121)/Platforms!L121</f>
        <v>318.2611982611983</v>
      </c>
      <c r="AZ121">
        <f t="shared" si="13"/>
        <v>-1287.5</v>
      </c>
    </row>
    <row r="122" spans="1:52" ht="12.75">
      <c r="A122" s="52" t="str">
        <f t="shared" si="12"/>
        <v>7430PremiumMFWDPQ+</v>
      </c>
      <c r="B122">
        <v>120</v>
      </c>
      <c r="C122" t="s">
        <v>80</v>
      </c>
      <c r="D122" t="s">
        <v>71</v>
      </c>
      <c r="E122" t="s">
        <v>64</v>
      </c>
      <c r="F122" t="s">
        <v>69</v>
      </c>
      <c r="G122" s="53">
        <v>39870</v>
      </c>
      <c r="H122">
        <v>6700</v>
      </c>
      <c r="I122" s="54">
        <v>895</v>
      </c>
      <c r="J122" s="54">
        <v>137</v>
      </c>
      <c r="K122">
        <v>400</v>
      </c>
      <c r="L122">
        <v>2645.5</v>
      </c>
      <c r="M122">
        <v>880</v>
      </c>
      <c r="N122">
        <v>12300</v>
      </c>
      <c r="O122">
        <v>7100</v>
      </c>
      <c r="P122">
        <v>9500</v>
      </c>
      <c r="Q122" s="52">
        <f t="shared" si="7"/>
        <v>2266.6792666792667</v>
      </c>
      <c r="R122" s="52">
        <f t="shared" si="8"/>
        <v>4433.320733320734</v>
      </c>
      <c r="S122" s="52">
        <f t="shared" si="9"/>
        <v>4433.320733320733</v>
      </c>
      <c r="T122">
        <v>-1300.3</v>
      </c>
      <c r="U122">
        <v>416.9</v>
      </c>
      <c r="V122" s="54">
        <v>1618</v>
      </c>
      <c r="W122" s="54">
        <v>1005</v>
      </c>
      <c r="AD122" t="s">
        <v>401</v>
      </c>
      <c r="AE122" t="s">
        <v>401</v>
      </c>
      <c r="AF122">
        <f>2685+1041</f>
        <v>3726</v>
      </c>
      <c r="AG122">
        <f>VLOOKUP('Ballast Calculator'!$D$67,'Drop down Options'!$CS$289:$CV$293,4,FALSE)*Platforms!T122/Platforms!L122</f>
        <v>-304.73861273861274</v>
      </c>
      <c r="AH122">
        <f>VLOOKUP('Ballast Calculator'!$D$67,'Drop down Options'!$CS$289:$CV$293,4,FALSE)+(VLOOKUP('Ballast Calculator'!$D$67,'Drop down Options'!$CS$289:$CV$293,4,FALSE)*T122)/L122</f>
        <v>315.26138726138726</v>
      </c>
      <c r="AI122">
        <f>VLOOKUP('Ballast Calculator'!$D$67,'Drop down Options'!$CS$289:$CV$293,4,FALSE)*(Platforms!L122+Platforms!T122)/Platforms!L122</f>
        <v>315.26138726138726</v>
      </c>
      <c r="AJ122">
        <v>-991.1</v>
      </c>
      <c r="AK122">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122">
        <f>IF(VLOOKUP('Ballast Calculator'!$D$50,'Drop down Options'!$AN$202:$AQ$210,4,FALSE)="",0,Platforms!AK122)</f>
        <v>2494.5318654318653</v>
      </c>
      <c r="AM122">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122">
        <f>IF(VLOOKUP('Ballast Calculator'!$D$50,'Drop down Options'!$AN$202:$AQ$210,4,FALSE)="",0,Platforms!AM122)</f>
        <v>-1106.2318654318653</v>
      </c>
      <c r="AO122">
        <f>VLOOKUP('Ballast Calculator'!$D$54,'Drop down Options'!$CN$277:$CR$280,5,FALSE)*Platforms!AJ122/Platforms!L122</f>
        <v>0</v>
      </c>
      <c r="AP122" s="167">
        <f>VLOOKUP('Ballast Calculator'!$D$54,'Drop down Options'!$CN$277:$CR$280,5,FALSE)+VLOOKUP('Ballast Calculator'!$D$54,'Drop down Options'!$CN$277:$CR$280,5,FALSE)*Platforms!AJ122/Platforms!L122</f>
        <v>0</v>
      </c>
      <c r="AQ122" s="167">
        <f>VLOOKUP('Ballast Calculator'!$D$54,'Drop down Options'!$CN$277:$CR$280,5,FALSE)*(Platforms!AJ122+Platforms!L122)/Platforms!L122</f>
        <v>0</v>
      </c>
      <c r="AR122">
        <f>VLOOKUP('Ballast Calculator'!$D$61,'Drop down Options'!$BW$215:$BZ$248,4,FALSE)*(Platforms!L122+Platforms!AF122)/Platforms!L122</f>
        <v>0</v>
      </c>
      <c r="AS122" s="167">
        <f>-AR122+VLOOKUP('Ballast Calculator'!$D$61,'Drop down Options'!$BW$215:$BZ$248,4,FALSE)</f>
        <v>0</v>
      </c>
      <c r="AT122" s="167">
        <f>-VLOOKUP('Ballast Calculator'!$D$61,'Drop down Options'!$BW$215:$BZ$248,4,FALSE)*Platforms!AF122/Platforms!L122</f>
        <v>0</v>
      </c>
      <c r="AU122">
        <v>0</v>
      </c>
      <c r="AV122">
        <f>VLOOKUP('Ballast Calculator'!$D$64,'Drop down Options'!$CF$253:$CI$272,4,FALSE)</f>
        <v>77</v>
      </c>
      <c r="AW122">
        <f>VLOOKUP('Ballast Calculator'!$D$67,'Drop down Options'!$CS$289:$CV$293,4,FALSE)*Platforms!AZ122/Platforms!L122</f>
        <v>-301.7388017388017</v>
      </c>
      <c r="AX122">
        <f>AW122+VLOOKUP('Ballast Calculator'!$D$67,'Drop down Options'!$CS$289:$CV$293,4,FALSE)</f>
        <v>318.2611982611983</v>
      </c>
      <c r="AY122">
        <f>VLOOKUP('Ballast Calculator'!$D$67,'Drop down Options'!$CS$289:$CV$293,4,FALSE)*(Platforms!AZ122+Platforms!L122)/Platforms!L122</f>
        <v>318.2611982611983</v>
      </c>
      <c r="AZ122">
        <f t="shared" si="13"/>
        <v>-1287.5</v>
      </c>
    </row>
    <row r="123" spans="1:52" ht="12.75">
      <c r="A123" s="52" t="str">
        <f t="shared" si="12"/>
        <v>7430PremiumMFWDAQ+</v>
      </c>
      <c r="B123">
        <v>121</v>
      </c>
      <c r="C123" t="s">
        <v>80</v>
      </c>
      <c r="D123" t="s">
        <v>71</v>
      </c>
      <c r="E123" t="s">
        <v>64</v>
      </c>
      <c r="F123" t="s">
        <v>72</v>
      </c>
      <c r="G123" s="53">
        <v>39870</v>
      </c>
      <c r="H123">
        <v>6700</v>
      </c>
      <c r="I123" s="54">
        <v>895</v>
      </c>
      <c r="J123" s="54">
        <v>137</v>
      </c>
      <c r="K123">
        <v>400</v>
      </c>
      <c r="L123">
        <v>2645.5</v>
      </c>
      <c r="M123">
        <v>880</v>
      </c>
      <c r="N123">
        <v>12300</v>
      </c>
      <c r="O123">
        <v>7100</v>
      </c>
      <c r="P123">
        <v>9500</v>
      </c>
      <c r="Q123" s="52">
        <f t="shared" si="7"/>
        <v>2266.6792666792667</v>
      </c>
      <c r="R123" s="52">
        <f t="shared" si="8"/>
        <v>4433.320733320734</v>
      </c>
      <c r="S123" s="52">
        <f t="shared" si="9"/>
        <v>4433.320733320733</v>
      </c>
      <c r="T123">
        <v>-1300.3</v>
      </c>
      <c r="U123">
        <v>416.9</v>
      </c>
      <c r="V123" s="54">
        <v>1618</v>
      </c>
      <c r="W123" s="54">
        <v>1005</v>
      </c>
      <c r="AD123" t="s">
        <v>401</v>
      </c>
      <c r="AE123" t="s">
        <v>401</v>
      </c>
      <c r="AF123">
        <f aca="true" t="shared" si="15" ref="AF123:AF133">2685+1041</f>
        <v>3726</v>
      </c>
      <c r="AG123">
        <f>VLOOKUP('Ballast Calculator'!$D$67,'Drop down Options'!$CS$289:$CV$293,4,FALSE)*Platforms!T123/Platforms!L123</f>
        <v>-304.73861273861274</v>
      </c>
      <c r="AH123">
        <f>VLOOKUP('Ballast Calculator'!$D$67,'Drop down Options'!$CS$289:$CV$293,4,FALSE)+(VLOOKUP('Ballast Calculator'!$D$67,'Drop down Options'!$CS$289:$CV$293,4,FALSE)*T123)/L123</f>
        <v>315.26138726138726</v>
      </c>
      <c r="AI123">
        <f>VLOOKUP('Ballast Calculator'!$D$67,'Drop down Options'!$CS$289:$CV$293,4,FALSE)*(Platforms!L123+Platforms!T123)/Platforms!L123</f>
        <v>315.26138726138726</v>
      </c>
      <c r="AJ123">
        <v>-991.1</v>
      </c>
      <c r="AK123">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123">
        <f>IF(VLOOKUP('Ballast Calculator'!$D$50,'Drop down Options'!$AN$202:$AQ$210,4,FALSE)="",0,Platforms!AK123)</f>
        <v>2494.5318654318653</v>
      </c>
      <c r="AM123">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123">
        <f>IF(VLOOKUP('Ballast Calculator'!$D$50,'Drop down Options'!$AN$202:$AQ$210,4,FALSE)="",0,Platforms!AM123)</f>
        <v>-1106.2318654318653</v>
      </c>
      <c r="AO123">
        <f>VLOOKUP('Ballast Calculator'!$D$54,'Drop down Options'!$CN$277:$CR$280,5,FALSE)*Platforms!AJ123/Platforms!L123</f>
        <v>0</v>
      </c>
      <c r="AP123" s="167">
        <f>VLOOKUP('Ballast Calculator'!$D$54,'Drop down Options'!$CN$277:$CR$280,5,FALSE)+VLOOKUP('Ballast Calculator'!$D$54,'Drop down Options'!$CN$277:$CR$280,5,FALSE)*Platforms!AJ123/Platforms!L123</f>
        <v>0</v>
      </c>
      <c r="AQ123" s="167">
        <f>VLOOKUP('Ballast Calculator'!$D$54,'Drop down Options'!$CN$277:$CR$280,5,FALSE)*(Platforms!AJ123+Platforms!L123)/Platforms!L123</f>
        <v>0</v>
      </c>
      <c r="AR123">
        <f>VLOOKUP('Ballast Calculator'!$D$61,'Drop down Options'!$BW$215:$BZ$248,4,FALSE)*(Platforms!L123+Platforms!AF123)/Platforms!L123</f>
        <v>0</v>
      </c>
      <c r="AS123" s="167">
        <f>-AR123+VLOOKUP('Ballast Calculator'!$D$61,'Drop down Options'!$BW$215:$BZ$248,4,FALSE)</f>
        <v>0</v>
      </c>
      <c r="AT123" s="167">
        <f>-VLOOKUP('Ballast Calculator'!$D$61,'Drop down Options'!$BW$215:$BZ$248,4,FALSE)*Platforms!AF123/Platforms!L123</f>
        <v>0</v>
      </c>
      <c r="AU123">
        <v>0</v>
      </c>
      <c r="AV123">
        <f>VLOOKUP('Ballast Calculator'!$D$64,'Drop down Options'!$CF$253:$CI$272,4,FALSE)</f>
        <v>77</v>
      </c>
      <c r="AW123">
        <f>VLOOKUP('Ballast Calculator'!$D$67,'Drop down Options'!$CS$289:$CV$293,4,FALSE)*Platforms!AZ123/Platforms!L123</f>
        <v>-301.7388017388017</v>
      </c>
      <c r="AX123">
        <f>AW123+VLOOKUP('Ballast Calculator'!$D$67,'Drop down Options'!$CS$289:$CV$293,4,FALSE)</f>
        <v>318.2611982611983</v>
      </c>
      <c r="AY123">
        <f>VLOOKUP('Ballast Calculator'!$D$67,'Drop down Options'!$CS$289:$CV$293,4,FALSE)*(Platforms!AZ123+Platforms!L123)/Platforms!L123</f>
        <v>318.2611982611983</v>
      </c>
      <c r="AZ123">
        <f t="shared" si="13"/>
        <v>-1287.5</v>
      </c>
    </row>
    <row r="124" spans="1:52" ht="12.75">
      <c r="A124" s="52" t="str">
        <f t="shared" si="12"/>
        <v>7430PremiumMFWDIVT</v>
      </c>
      <c r="B124">
        <v>122</v>
      </c>
      <c r="C124" t="s">
        <v>80</v>
      </c>
      <c r="D124" t="s">
        <v>71</v>
      </c>
      <c r="E124" t="s">
        <v>64</v>
      </c>
      <c r="F124" t="s">
        <v>75</v>
      </c>
      <c r="G124" s="53">
        <v>39870</v>
      </c>
      <c r="H124">
        <v>6700</v>
      </c>
      <c r="I124" s="54">
        <v>895</v>
      </c>
      <c r="J124" s="54">
        <v>137</v>
      </c>
      <c r="K124">
        <v>400</v>
      </c>
      <c r="L124">
        <v>2645.5</v>
      </c>
      <c r="M124">
        <v>880</v>
      </c>
      <c r="N124">
        <v>12300</v>
      </c>
      <c r="O124">
        <v>7100</v>
      </c>
      <c r="P124">
        <v>9500</v>
      </c>
      <c r="Q124" s="52">
        <f t="shared" si="7"/>
        <v>2266.6792666792667</v>
      </c>
      <c r="R124" s="52">
        <f t="shared" si="8"/>
        <v>4433.320733320734</v>
      </c>
      <c r="S124" s="52">
        <f t="shared" si="9"/>
        <v>4433.320733320733</v>
      </c>
      <c r="T124">
        <v>-1300.3</v>
      </c>
      <c r="U124">
        <v>416.9</v>
      </c>
      <c r="V124" s="54">
        <v>1618</v>
      </c>
      <c r="W124" s="54">
        <v>1005</v>
      </c>
      <c r="AD124" t="s">
        <v>401</v>
      </c>
      <c r="AE124" t="s">
        <v>401</v>
      </c>
      <c r="AF124">
        <f t="shared" si="15"/>
        <v>3726</v>
      </c>
      <c r="AG124">
        <f>VLOOKUP('Ballast Calculator'!$D$67,'Drop down Options'!$CS$289:$CV$293,4,FALSE)*Platforms!T124/Platforms!L124</f>
        <v>-304.73861273861274</v>
      </c>
      <c r="AH124">
        <f>VLOOKUP('Ballast Calculator'!$D$67,'Drop down Options'!$CS$289:$CV$293,4,FALSE)+(VLOOKUP('Ballast Calculator'!$D$67,'Drop down Options'!$CS$289:$CV$293,4,FALSE)*T124)/L124</f>
        <v>315.26138726138726</v>
      </c>
      <c r="AI124">
        <f>VLOOKUP('Ballast Calculator'!$D$67,'Drop down Options'!$CS$289:$CV$293,4,FALSE)*(Platforms!L124+Platforms!T124)/Platforms!L124</f>
        <v>315.26138726138726</v>
      </c>
      <c r="AJ124">
        <v>-991.1</v>
      </c>
      <c r="AK124">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124">
        <f>IF(VLOOKUP('Ballast Calculator'!$D$50,'Drop down Options'!$AN$202:$AQ$210,4,FALSE)="",0,Platforms!AK124)</f>
        <v>2494.5318654318653</v>
      </c>
      <c r="AM124">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124">
        <f>IF(VLOOKUP('Ballast Calculator'!$D$50,'Drop down Options'!$AN$202:$AQ$210,4,FALSE)="",0,Platforms!AM124)</f>
        <v>-1106.2318654318653</v>
      </c>
      <c r="AO124">
        <f>VLOOKUP('Ballast Calculator'!$D$54,'Drop down Options'!$CN$277:$CR$280,5,FALSE)*Platforms!AJ124/Platforms!L124</f>
        <v>0</v>
      </c>
      <c r="AP124" s="167">
        <f>VLOOKUP('Ballast Calculator'!$D$54,'Drop down Options'!$CN$277:$CR$280,5,FALSE)+VLOOKUP('Ballast Calculator'!$D$54,'Drop down Options'!$CN$277:$CR$280,5,FALSE)*Platforms!AJ124/Platforms!L124</f>
        <v>0</v>
      </c>
      <c r="AQ124" s="167">
        <f>VLOOKUP('Ballast Calculator'!$D$54,'Drop down Options'!$CN$277:$CR$280,5,FALSE)*(Platforms!AJ124+Platforms!L124)/Platforms!L124</f>
        <v>0</v>
      </c>
      <c r="AR124">
        <f>VLOOKUP('Ballast Calculator'!$D$61,'Drop down Options'!$BW$215:$BZ$248,4,FALSE)*(Platforms!L124+Platforms!AF124)/Platforms!L124</f>
        <v>0</v>
      </c>
      <c r="AS124" s="167">
        <f>-AR124+VLOOKUP('Ballast Calculator'!$D$61,'Drop down Options'!$BW$215:$BZ$248,4,FALSE)</f>
        <v>0</v>
      </c>
      <c r="AT124" s="167">
        <f>-VLOOKUP('Ballast Calculator'!$D$61,'Drop down Options'!$BW$215:$BZ$248,4,FALSE)*Platforms!AF124/Platforms!L124</f>
        <v>0</v>
      </c>
      <c r="AU124">
        <v>0</v>
      </c>
      <c r="AV124">
        <f>VLOOKUP('Ballast Calculator'!$D$64,'Drop down Options'!$CF$253:$CI$272,4,FALSE)</f>
        <v>77</v>
      </c>
      <c r="AW124">
        <f>VLOOKUP('Ballast Calculator'!$D$67,'Drop down Options'!$CS$289:$CV$293,4,FALSE)*Platforms!AZ124/Platforms!L124</f>
        <v>-301.7388017388017</v>
      </c>
      <c r="AX124">
        <f>AW124+VLOOKUP('Ballast Calculator'!$D$67,'Drop down Options'!$CS$289:$CV$293,4,FALSE)</f>
        <v>318.2611982611983</v>
      </c>
      <c r="AY124">
        <f>VLOOKUP('Ballast Calculator'!$D$67,'Drop down Options'!$CS$289:$CV$293,4,FALSE)*(Platforms!AZ124+Platforms!L124)/Platforms!L124</f>
        <v>318.2611982611983</v>
      </c>
      <c r="AZ124">
        <f t="shared" si="13"/>
        <v>-1287.5</v>
      </c>
    </row>
    <row r="125" spans="1:52" ht="12.75">
      <c r="A125" s="52" t="str">
        <f t="shared" si="12"/>
        <v>7430PremiumMFWD TLSPQ+</v>
      </c>
      <c r="B125">
        <v>123</v>
      </c>
      <c r="C125" t="s">
        <v>80</v>
      </c>
      <c r="D125" t="s">
        <v>71</v>
      </c>
      <c r="E125" t="s">
        <v>73</v>
      </c>
      <c r="F125" t="s">
        <v>69</v>
      </c>
      <c r="G125" s="53">
        <v>39870</v>
      </c>
      <c r="H125">
        <v>6700</v>
      </c>
      <c r="I125" s="54">
        <v>895</v>
      </c>
      <c r="J125" s="54">
        <v>137</v>
      </c>
      <c r="K125" s="54">
        <v>450</v>
      </c>
      <c r="L125" s="54">
        <v>2645.5</v>
      </c>
      <c r="M125">
        <v>880</v>
      </c>
      <c r="N125">
        <v>12300</v>
      </c>
      <c r="O125">
        <v>7100</v>
      </c>
      <c r="P125">
        <v>9500</v>
      </c>
      <c r="Q125" s="52">
        <f t="shared" si="7"/>
        <v>2266.6792666792667</v>
      </c>
      <c r="R125" s="52">
        <f t="shared" si="8"/>
        <v>4433.320733320734</v>
      </c>
      <c r="S125" s="52">
        <f t="shared" si="9"/>
        <v>4433.320733320733</v>
      </c>
      <c r="T125">
        <v>-1300.3</v>
      </c>
      <c r="U125">
        <v>416.9</v>
      </c>
      <c r="V125" s="54">
        <v>1618</v>
      </c>
      <c r="W125" s="54">
        <v>1005</v>
      </c>
      <c r="AD125" t="s">
        <v>401</v>
      </c>
      <c r="AE125" t="s">
        <v>401</v>
      </c>
      <c r="AF125">
        <f t="shared" si="15"/>
        <v>3726</v>
      </c>
      <c r="AG125">
        <f>VLOOKUP('Ballast Calculator'!$D$67,'Drop down Options'!$CS$289:$CV$293,4,FALSE)*Platforms!T125/Platforms!L125</f>
        <v>-304.73861273861274</v>
      </c>
      <c r="AH125">
        <f>VLOOKUP('Ballast Calculator'!$D$67,'Drop down Options'!$CS$289:$CV$293,4,FALSE)+(VLOOKUP('Ballast Calculator'!$D$67,'Drop down Options'!$CS$289:$CV$293,4,FALSE)*T125)/L125</f>
        <v>315.26138726138726</v>
      </c>
      <c r="AI125">
        <f>VLOOKUP('Ballast Calculator'!$D$67,'Drop down Options'!$CS$289:$CV$293,4,FALSE)*(Platforms!L125+Platforms!T125)/Platforms!L125</f>
        <v>315.26138726138726</v>
      </c>
      <c r="AJ125">
        <v>-991.1</v>
      </c>
      <c r="AK125">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125">
        <f>IF(VLOOKUP('Ballast Calculator'!$D$50,'Drop down Options'!$AN$202:$AQ$210,4,FALSE)="",0,Platforms!AK125)</f>
        <v>2494.5318654318653</v>
      </c>
      <c r="AM125">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125">
        <f>IF(VLOOKUP('Ballast Calculator'!$D$50,'Drop down Options'!$AN$202:$AQ$210,4,FALSE)="",0,Platforms!AM125)</f>
        <v>-1106.2318654318653</v>
      </c>
      <c r="AO125">
        <f>VLOOKUP('Ballast Calculator'!$D$54,'Drop down Options'!$CN$277:$CR$280,5,FALSE)*Platforms!AJ125/Platforms!L125</f>
        <v>0</v>
      </c>
      <c r="AP125" s="167">
        <f>VLOOKUP('Ballast Calculator'!$D$54,'Drop down Options'!$CN$277:$CR$280,5,FALSE)+VLOOKUP('Ballast Calculator'!$D$54,'Drop down Options'!$CN$277:$CR$280,5,FALSE)*Platforms!AJ125/Platforms!L125</f>
        <v>0</v>
      </c>
      <c r="AQ125" s="167">
        <f>VLOOKUP('Ballast Calculator'!$D$54,'Drop down Options'!$CN$277:$CR$280,5,FALSE)*(Platforms!AJ125+Platforms!L125)/Platforms!L125</f>
        <v>0</v>
      </c>
      <c r="AR125">
        <f>VLOOKUP('Ballast Calculator'!$D$61,'Drop down Options'!$BW$215:$BZ$248,4,FALSE)*(Platforms!L125+Platforms!AF125)/Platforms!L125</f>
        <v>0</v>
      </c>
      <c r="AS125" s="167">
        <f>-AR125+VLOOKUP('Ballast Calculator'!$D$61,'Drop down Options'!$BW$215:$BZ$248,4,FALSE)</f>
        <v>0</v>
      </c>
      <c r="AT125" s="167">
        <f>-VLOOKUP('Ballast Calculator'!$D$61,'Drop down Options'!$BW$215:$BZ$248,4,FALSE)*Platforms!AF125/Platforms!L125</f>
        <v>0</v>
      </c>
      <c r="AU125">
        <v>0</v>
      </c>
      <c r="AV125">
        <f>VLOOKUP('Ballast Calculator'!$D$64,'Drop down Options'!$CF$253:$CI$272,4,FALSE)</f>
        <v>77</v>
      </c>
      <c r="AW125">
        <f>VLOOKUP('Ballast Calculator'!$D$67,'Drop down Options'!$CS$289:$CV$293,4,FALSE)*Platforms!AZ125/Platforms!L125</f>
        <v>-301.7388017388017</v>
      </c>
      <c r="AX125">
        <f>AW125+VLOOKUP('Ballast Calculator'!$D$67,'Drop down Options'!$CS$289:$CV$293,4,FALSE)</f>
        <v>318.2611982611983</v>
      </c>
      <c r="AY125">
        <f>VLOOKUP('Ballast Calculator'!$D$67,'Drop down Options'!$CS$289:$CV$293,4,FALSE)*(Platforms!AZ125+Platforms!L125)/Platforms!L125</f>
        <v>318.2611982611983</v>
      </c>
      <c r="AZ125">
        <f t="shared" si="13"/>
        <v>-1287.5</v>
      </c>
    </row>
    <row r="126" spans="1:52" ht="12.75">
      <c r="A126" s="52" t="str">
        <f t="shared" si="12"/>
        <v>7430PremiumMFWD TLSAQ+</v>
      </c>
      <c r="B126">
        <v>124</v>
      </c>
      <c r="C126" t="s">
        <v>80</v>
      </c>
      <c r="D126" t="s">
        <v>71</v>
      </c>
      <c r="E126" t="s">
        <v>73</v>
      </c>
      <c r="F126" t="s">
        <v>72</v>
      </c>
      <c r="G126" s="53">
        <v>39870</v>
      </c>
      <c r="H126">
        <v>6700</v>
      </c>
      <c r="I126" s="54">
        <v>895</v>
      </c>
      <c r="J126" s="54">
        <v>137</v>
      </c>
      <c r="K126" s="54">
        <v>450</v>
      </c>
      <c r="L126" s="54">
        <v>2645.5</v>
      </c>
      <c r="M126">
        <v>880</v>
      </c>
      <c r="N126">
        <v>12300</v>
      </c>
      <c r="O126">
        <v>7100</v>
      </c>
      <c r="P126">
        <v>9500</v>
      </c>
      <c r="Q126" s="52">
        <f t="shared" si="7"/>
        <v>2266.6792666792667</v>
      </c>
      <c r="R126" s="52">
        <f t="shared" si="8"/>
        <v>4433.320733320734</v>
      </c>
      <c r="S126" s="52">
        <f t="shared" si="9"/>
        <v>4433.320733320733</v>
      </c>
      <c r="T126">
        <v>-1300.3</v>
      </c>
      <c r="U126">
        <v>416.9</v>
      </c>
      <c r="V126" s="54">
        <v>1618</v>
      </c>
      <c r="W126" s="54">
        <v>1005</v>
      </c>
      <c r="AD126" t="s">
        <v>401</v>
      </c>
      <c r="AE126" t="s">
        <v>401</v>
      </c>
      <c r="AF126">
        <f t="shared" si="15"/>
        <v>3726</v>
      </c>
      <c r="AG126">
        <f>VLOOKUP('Ballast Calculator'!$D$67,'Drop down Options'!$CS$289:$CV$293,4,FALSE)*Platforms!T126/Platforms!L126</f>
        <v>-304.73861273861274</v>
      </c>
      <c r="AH126">
        <f>VLOOKUP('Ballast Calculator'!$D$67,'Drop down Options'!$CS$289:$CV$293,4,FALSE)+(VLOOKUP('Ballast Calculator'!$D$67,'Drop down Options'!$CS$289:$CV$293,4,FALSE)*T126)/L126</f>
        <v>315.26138726138726</v>
      </c>
      <c r="AI126">
        <f>VLOOKUP('Ballast Calculator'!$D$67,'Drop down Options'!$CS$289:$CV$293,4,FALSE)*(Platforms!L126+Platforms!T126)/Platforms!L126</f>
        <v>315.26138726138726</v>
      </c>
      <c r="AJ126">
        <v>-991.1</v>
      </c>
      <c r="AK126">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126">
        <f>IF(VLOOKUP('Ballast Calculator'!$D$50,'Drop down Options'!$AN$202:$AQ$210,4,FALSE)="",0,Platforms!AK126)</f>
        <v>2494.5318654318653</v>
      </c>
      <c r="AM126">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126">
        <f>IF(VLOOKUP('Ballast Calculator'!$D$50,'Drop down Options'!$AN$202:$AQ$210,4,FALSE)="",0,Platforms!AM126)</f>
        <v>-1106.2318654318653</v>
      </c>
      <c r="AO126">
        <f>VLOOKUP('Ballast Calculator'!$D$54,'Drop down Options'!$CN$277:$CR$280,5,FALSE)*Platforms!AJ126/Platforms!L126</f>
        <v>0</v>
      </c>
      <c r="AP126" s="167">
        <f>VLOOKUP('Ballast Calculator'!$D$54,'Drop down Options'!$CN$277:$CR$280,5,FALSE)+VLOOKUP('Ballast Calculator'!$D$54,'Drop down Options'!$CN$277:$CR$280,5,FALSE)*Platforms!AJ126/Platforms!L126</f>
        <v>0</v>
      </c>
      <c r="AQ126" s="167">
        <f>VLOOKUP('Ballast Calculator'!$D$54,'Drop down Options'!$CN$277:$CR$280,5,FALSE)*(Platforms!AJ126+Platforms!L126)/Platforms!L126</f>
        <v>0</v>
      </c>
      <c r="AR126">
        <f>VLOOKUP('Ballast Calculator'!$D$61,'Drop down Options'!$BW$215:$BZ$248,4,FALSE)*(Platforms!L126+Platforms!AF126)/Platforms!L126</f>
        <v>0</v>
      </c>
      <c r="AS126" s="167">
        <f>-AR126+VLOOKUP('Ballast Calculator'!$D$61,'Drop down Options'!$BW$215:$BZ$248,4,FALSE)</f>
        <v>0</v>
      </c>
      <c r="AT126" s="167">
        <f>-VLOOKUP('Ballast Calculator'!$D$61,'Drop down Options'!$BW$215:$BZ$248,4,FALSE)*Platforms!AF126/Platforms!L126</f>
        <v>0</v>
      </c>
      <c r="AU126">
        <v>0</v>
      </c>
      <c r="AV126">
        <f>VLOOKUP('Ballast Calculator'!$D$64,'Drop down Options'!$CF$253:$CI$272,4,FALSE)</f>
        <v>77</v>
      </c>
      <c r="AW126">
        <f>VLOOKUP('Ballast Calculator'!$D$67,'Drop down Options'!$CS$289:$CV$293,4,FALSE)*Platforms!AZ126/Platforms!L126</f>
        <v>-301.7388017388017</v>
      </c>
      <c r="AX126">
        <f>AW126+VLOOKUP('Ballast Calculator'!$D$67,'Drop down Options'!$CS$289:$CV$293,4,FALSE)</f>
        <v>318.2611982611983</v>
      </c>
      <c r="AY126">
        <f>VLOOKUP('Ballast Calculator'!$D$67,'Drop down Options'!$CS$289:$CV$293,4,FALSE)*(Platforms!AZ126+Platforms!L126)/Platforms!L126</f>
        <v>318.2611982611983</v>
      </c>
      <c r="AZ126">
        <f t="shared" si="13"/>
        <v>-1287.5</v>
      </c>
    </row>
    <row r="127" spans="1:52" ht="12.75">
      <c r="A127" s="52" t="str">
        <f t="shared" si="12"/>
        <v>7430PremiumMFWD TLSIVT</v>
      </c>
      <c r="B127">
        <v>125</v>
      </c>
      <c r="C127" t="s">
        <v>80</v>
      </c>
      <c r="D127" t="s">
        <v>71</v>
      </c>
      <c r="E127" t="s">
        <v>73</v>
      </c>
      <c r="F127" t="s">
        <v>75</v>
      </c>
      <c r="G127" s="53">
        <v>39870</v>
      </c>
      <c r="H127">
        <v>6700</v>
      </c>
      <c r="I127" s="54">
        <v>895</v>
      </c>
      <c r="J127" s="54">
        <v>137</v>
      </c>
      <c r="K127" s="54">
        <v>450</v>
      </c>
      <c r="L127" s="54">
        <v>2645.5</v>
      </c>
      <c r="M127">
        <v>880</v>
      </c>
      <c r="N127">
        <v>12300</v>
      </c>
      <c r="O127">
        <v>7100</v>
      </c>
      <c r="P127">
        <v>9500</v>
      </c>
      <c r="Q127" s="52">
        <f t="shared" si="7"/>
        <v>2266.6792666792667</v>
      </c>
      <c r="R127" s="52">
        <f t="shared" si="8"/>
        <v>4433.320733320734</v>
      </c>
      <c r="S127" s="52">
        <f t="shared" si="9"/>
        <v>4433.320733320733</v>
      </c>
      <c r="T127">
        <v>-1300.3</v>
      </c>
      <c r="U127">
        <v>416.9</v>
      </c>
      <c r="V127" s="54">
        <v>1618</v>
      </c>
      <c r="W127" s="54">
        <v>1005</v>
      </c>
      <c r="AD127" t="s">
        <v>401</v>
      </c>
      <c r="AE127" t="s">
        <v>401</v>
      </c>
      <c r="AF127">
        <f t="shared" si="15"/>
        <v>3726</v>
      </c>
      <c r="AG127">
        <f>VLOOKUP('Ballast Calculator'!$D$67,'Drop down Options'!$CS$289:$CV$293,4,FALSE)*Platforms!T127/Platforms!L127</f>
        <v>-304.73861273861274</v>
      </c>
      <c r="AH127">
        <f>VLOOKUP('Ballast Calculator'!$D$67,'Drop down Options'!$CS$289:$CV$293,4,FALSE)+(VLOOKUP('Ballast Calculator'!$D$67,'Drop down Options'!$CS$289:$CV$293,4,FALSE)*T127)/L127</f>
        <v>315.26138726138726</v>
      </c>
      <c r="AI127">
        <f>VLOOKUP('Ballast Calculator'!$D$67,'Drop down Options'!$CS$289:$CV$293,4,FALSE)*(Platforms!L127+Platforms!T127)/Platforms!L127</f>
        <v>315.26138726138726</v>
      </c>
      <c r="AJ127">
        <v>-991.1</v>
      </c>
      <c r="AK127">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127">
        <f>IF(VLOOKUP('Ballast Calculator'!$D$50,'Drop down Options'!$AN$202:$AQ$210,4,FALSE)="",0,Platforms!AK127)</f>
        <v>2494.5318654318653</v>
      </c>
      <c r="AM127">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127">
        <f>IF(VLOOKUP('Ballast Calculator'!$D$50,'Drop down Options'!$AN$202:$AQ$210,4,FALSE)="",0,Platforms!AM127)</f>
        <v>-1106.2318654318653</v>
      </c>
      <c r="AO127">
        <f>VLOOKUP('Ballast Calculator'!$D$54,'Drop down Options'!$CN$277:$CR$280,5,FALSE)*Platforms!AJ127/Platforms!L127</f>
        <v>0</v>
      </c>
      <c r="AP127" s="167">
        <f>VLOOKUP('Ballast Calculator'!$D$54,'Drop down Options'!$CN$277:$CR$280,5,FALSE)+VLOOKUP('Ballast Calculator'!$D$54,'Drop down Options'!$CN$277:$CR$280,5,FALSE)*Platforms!AJ127/Platforms!L127</f>
        <v>0</v>
      </c>
      <c r="AQ127" s="167">
        <f>VLOOKUP('Ballast Calculator'!$D$54,'Drop down Options'!$CN$277:$CR$280,5,FALSE)*(Platforms!AJ127+Platforms!L127)/Platforms!L127</f>
        <v>0</v>
      </c>
      <c r="AR127">
        <f>VLOOKUP('Ballast Calculator'!$D$61,'Drop down Options'!$BW$215:$BZ$248,4,FALSE)*(Platforms!L127+Platforms!AF127)/Platforms!L127</f>
        <v>0</v>
      </c>
      <c r="AS127" s="167">
        <f>-AR127+VLOOKUP('Ballast Calculator'!$D$61,'Drop down Options'!$BW$215:$BZ$248,4,FALSE)</f>
        <v>0</v>
      </c>
      <c r="AT127" s="167">
        <f>-VLOOKUP('Ballast Calculator'!$D$61,'Drop down Options'!$BW$215:$BZ$248,4,FALSE)*Platforms!AF127/Platforms!L127</f>
        <v>0</v>
      </c>
      <c r="AU127">
        <v>0</v>
      </c>
      <c r="AV127">
        <f>VLOOKUP('Ballast Calculator'!$D$64,'Drop down Options'!$CF$253:$CI$272,4,FALSE)</f>
        <v>77</v>
      </c>
      <c r="AW127">
        <f>VLOOKUP('Ballast Calculator'!$D$67,'Drop down Options'!$CS$289:$CV$293,4,FALSE)*Platforms!AZ127/Platforms!L127</f>
        <v>-301.7388017388017</v>
      </c>
      <c r="AX127">
        <f>AW127+VLOOKUP('Ballast Calculator'!$D$67,'Drop down Options'!$CS$289:$CV$293,4,FALSE)</f>
        <v>318.2611982611983</v>
      </c>
      <c r="AY127">
        <f>VLOOKUP('Ballast Calculator'!$D$67,'Drop down Options'!$CS$289:$CV$293,4,FALSE)*(Platforms!AZ127+Platforms!L127)/Platforms!L127</f>
        <v>318.2611982611983</v>
      </c>
      <c r="AZ127">
        <f t="shared" si="13"/>
        <v>-1287.5</v>
      </c>
    </row>
    <row r="128" spans="1:52" ht="12.75">
      <c r="A128" s="52" t="str">
        <f t="shared" si="12"/>
        <v>7530PremiumMFWDPQ+</v>
      </c>
      <c r="B128">
        <v>126</v>
      </c>
      <c r="C128" s="54">
        <v>7530</v>
      </c>
      <c r="D128" s="55" t="s">
        <v>71</v>
      </c>
      <c r="E128" s="54" t="s">
        <v>64</v>
      </c>
      <c r="F128" t="s">
        <v>69</v>
      </c>
      <c r="G128" s="53">
        <v>39870</v>
      </c>
      <c r="H128">
        <v>7100</v>
      </c>
      <c r="I128" s="54">
        <v>895</v>
      </c>
      <c r="J128" s="54">
        <v>137</v>
      </c>
      <c r="K128">
        <v>400</v>
      </c>
      <c r="L128">
        <v>2645.5</v>
      </c>
      <c r="M128">
        <v>880</v>
      </c>
      <c r="N128">
        <v>12300</v>
      </c>
      <c r="O128">
        <v>7100</v>
      </c>
      <c r="P128">
        <v>9500</v>
      </c>
      <c r="Q128" s="52">
        <f t="shared" si="7"/>
        <v>2402.003402003402</v>
      </c>
      <c r="R128" s="52">
        <f t="shared" si="8"/>
        <v>4697.996597996598</v>
      </c>
      <c r="S128" s="52">
        <f t="shared" si="9"/>
        <v>4697.996597996598</v>
      </c>
      <c r="T128">
        <v>-1300.3</v>
      </c>
      <c r="U128">
        <v>416.9</v>
      </c>
      <c r="V128" s="54">
        <v>1618</v>
      </c>
      <c r="W128" s="54">
        <v>1005</v>
      </c>
      <c r="AD128" t="s">
        <v>401</v>
      </c>
      <c r="AE128" t="s">
        <v>401</v>
      </c>
      <c r="AF128">
        <f t="shared" si="15"/>
        <v>3726</v>
      </c>
      <c r="AG128">
        <f>VLOOKUP('Ballast Calculator'!$D$67,'Drop down Options'!$CS$289:$CV$293,4,FALSE)*Platforms!T128/Platforms!L128</f>
        <v>-304.73861273861274</v>
      </c>
      <c r="AH128">
        <f>VLOOKUP('Ballast Calculator'!$D$67,'Drop down Options'!$CS$289:$CV$293,4,FALSE)+(VLOOKUP('Ballast Calculator'!$D$67,'Drop down Options'!$CS$289:$CV$293,4,FALSE)*T128)/L128</f>
        <v>315.26138726138726</v>
      </c>
      <c r="AI128">
        <f>VLOOKUP('Ballast Calculator'!$D$67,'Drop down Options'!$CS$289:$CV$293,4,FALSE)*(Platforms!L128+Platforms!T128)/Platforms!L128</f>
        <v>315.26138726138726</v>
      </c>
      <c r="AJ128">
        <v>-991.1</v>
      </c>
      <c r="AK128">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128">
        <f>IF(VLOOKUP('Ballast Calculator'!$D$50,'Drop down Options'!$AN$202:$AQ$210,4,FALSE)="",0,Platforms!AK128)</f>
        <v>2494.5318654318653</v>
      </c>
      <c r="AM128">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128">
        <f>IF(VLOOKUP('Ballast Calculator'!$D$50,'Drop down Options'!$AN$202:$AQ$210,4,FALSE)="",0,Platforms!AM128)</f>
        <v>-1106.2318654318653</v>
      </c>
      <c r="AO128">
        <f>VLOOKUP('Ballast Calculator'!$D$54,'Drop down Options'!$CN$277:$CR$280,5,FALSE)*Platforms!AJ128/Platforms!L128</f>
        <v>0</v>
      </c>
      <c r="AP128" s="167">
        <f>VLOOKUP('Ballast Calculator'!$D$54,'Drop down Options'!$CN$277:$CR$280,5,FALSE)+VLOOKUP('Ballast Calculator'!$D$54,'Drop down Options'!$CN$277:$CR$280,5,FALSE)*Platforms!AJ128/Platforms!L128</f>
        <v>0</v>
      </c>
      <c r="AQ128" s="167">
        <f>VLOOKUP('Ballast Calculator'!$D$54,'Drop down Options'!$CN$277:$CR$280,5,FALSE)*(Platforms!AJ128+Platforms!L128)/Platforms!L128</f>
        <v>0</v>
      </c>
      <c r="AR128">
        <f>VLOOKUP('Ballast Calculator'!$D$61,'Drop down Options'!$BW$215:$BZ$248,4,FALSE)*(Platforms!L128+Platforms!AF128)/Platforms!L128</f>
        <v>0</v>
      </c>
      <c r="AS128" s="167">
        <f>-AR128+VLOOKUP('Ballast Calculator'!$D$61,'Drop down Options'!$BW$215:$BZ$248,4,FALSE)</f>
        <v>0</v>
      </c>
      <c r="AT128" s="167">
        <f>-VLOOKUP('Ballast Calculator'!$D$61,'Drop down Options'!$BW$215:$BZ$248,4,FALSE)*Platforms!AF128/Platforms!L128</f>
        <v>0</v>
      </c>
      <c r="AU128">
        <v>0</v>
      </c>
      <c r="AV128">
        <f>VLOOKUP('Ballast Calculator'!$D$64,'Drop down Options'!$CF$253:$CI$272,4,FALSE)</f>
        <v>77</v>
      </c>
      <c r="AW128">
        <f>VLOOKUP('Ballast Calculator'!$D$67,'Drop down Options'!$CS$289:$CV$293,4,FALSE)*Platforms!AZ128/Platforms!L128</f>
        <v>-301.7388017388017</v>
      </c>
      <c r="AX128">
        <f>AW128+VLOOKUP('Ballast Calculator'!$D$67,'Drop down Options'!$CS$289:$CV$293,4,FALSE)</f>
        <v>318.2611982611983</v>
      </c>
      <c r="AY128">
        <f>VLOOKUP('Ballast Calculator'!$D$67,'Drop down Options'!$CS$289:$CV$293,4,FALSE)*(Platforms!AZ128+Platforms!L128)/Platforms!L128</f>
        <v>318.2611982611983</v>
      </c>
      <c r="AZ128">
        <f t="shared" si="13"/>
        <v>-1287.5</v>
      </c>
    </row>
    <row r="129" spans="1:52" ht="12.75">
      <c r="A129" s="52" t="str">
        <f t="shared" si="12"/>
        <v>7530PremiumMFWDAQ+</v>
      </c>
      <c r="B129">
        <v>127</v>
      </c>
      <c r="C129" s="54">
        <v>7530</v>
      </c>
      <c r="D129" s="55" t="s">
        <v>71</v>
      </c>
      <c r="E129" s="54" t="s">
        <v>64</v>
      </c>
      <c r="F129" t="s">
        <v>72</v>
      </c>
      <c r="G129" s="53">
        <v>39870</v>
      </c>
      <c r="H129">
        <v>7100</v>
      </c>
      <c r="I129" s="54">
        <v>895</v>
      </c>
      <c r="J129" s="54">
        <v>137</v>
      </c>
      <c r="K129">
        <v>400</v>
      </c>
      <c r="L129">
        <v>2645.5</v>
      </c>
      <c r="M129">
        <v>880</v>
      </c>
      <c r="N129">
        <v>12300</v>
      </c>
      <c r="O129">
        <v>7100</v>
      </c>
      <c r="P129">
        <v>9500</v>
      </c>
      <c r="Q129" s="52">
        <f t="shared" si="7"/>
        <v>2402.003402003402</v>
      </c>
      <c r="R129" s="52">
        <f t="shared" si="8"/>
        <v>4697.996597996598</v>
      </c>
      <c r="S129" s="52">
        <f t="shared" si="9"/>
        <v>4697.996597996598</v>
      </c>
      <c r="T129">
        <v>-1300.3</v>
      </c>
      <c r="U129">
        <v>416.9</v>
      </c>
      <c r="V129" s="54">
        <v>1618</v>
      </c>
      <c r="W129" s="54">
        <v>1005</v>
      </c>
      <c r="AD129" t="s">
        <v>401</v>
      </c>
      <c r="AE129" t="s">
        <v>401</v>
      </c>
      <c r="AF129">
        <f t="shared" si="15"/>
        <v>3726</v>
      </c>
      <c r="AG129">
        <f>VLOOKUP('Ballast Calculator'!$D$67,'Drop down Options'!$CS$289:$CV$293,4,FALSE)*Platforms!T129/Platforms!L129</f>
        <v>-304.73861273861274</v>
      </c>
      <c r="AH129">
        <f>VLOOKUP('Ballast Calculator'!$D$67,'Drop down Options'!$CS$289:$CV$293,4,FALSE)+(VLOOKUP('Ballast Calculator'!$D$67,'Drop down Options'!$CS$289:$CV$293,4,FALSE)*T129)/L129</f>
        <v>315.26138726138726</v>
      </c>
      <c r="AI129">
        <f>VLOOKUP('Ballast Calculator'!$D$67,'Drop down Options'!$CS$289:$CV$293,4,FALSE)*(Platforms!L129+Platforms!T129)/Platforms!L129</f>
        <v>315.26138726138726</v>
      </c>
      <c r="AJ129">
        <v>-991.1</v>
      </c>
      <c r="AK129">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129">
        <f>IF(VLOOKUP('Ballast Calculator'!$D$50,'Drop down Options'!$AN$202:$AQ$210,4,FALSE)="",0,Platforms!AK129)</f>
        <v>2494.5318654318653</v>
      </c>
      <c r="AM129">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129">
        <f>IF(VLOOKUP('Ballast Calculator'!$D$50,'Drop down Options'!$AN$202:$AQ$210,4,FALSE)="",0,Platforms!AM129)</f>
        <v>-1106.2318654318653</v>
      </c>
      <c r="AO129">
        <f>VLOOKUP('Ballast Calculator'!$D$54,'Drop down Options'!$CN$277:$CR$280,5,FALSE)*Platforms!AJ129/Platforms!L129</f>
        <v>0</v>
      </c>
      <c r="AP129" s="167">
        <f>VLOOKUP('Ballast Calculator'!$D$54,'Drop down Options'!$CN$277:$CR$280,5,FALSE)+VLOOKUP('Ballast Calculator'!$D$54,'Drop down Options'!$CN$277:$CR$280,5,FALSE)*Platforms!AJ129/Platforms!L129</f>
        <v>0</v>
      </c>
      <c r="AQ129" s="167">
        <f>VLOOKUP('Ballast Calculator'!$D$54,'Drop down Options'!$CN$277:$CR$280,5,FALSE)*(Platforms!AJ129+Platforms!L129)/Platforms!L129</f>
        <v>0</v>
      </c>
      <c r="AR129">
        <f>VLOOKUP('Ballast Calculator'!$D$61,'Drop down Options'!$BW$215:$BZ$248,4,FALSE)*(Platforms!L129+Platforms!AF129)/Platforms!L129</f>
        <v>0</v>
      </c>
      <c r="AS129" s="167">
        <f>-AR129+VLOOKUP('Ballast Calculator'!$D$61,'Drop down Options'!$BW$215:$BZ$248,4,FALSE)</f>
        <v>0</v>
      </c>
      <c r="AT129" s="167">
        <f>-VLOOKUP('Ballast Calculator'!$D$61,'Drop down Options'!$BW$215:$BZ$248,4,FALSE)*Platforms!AF129/Platforms!L129</f>
        <v>0</v>
      </c>
      <c r="AU129">
        <v>0</v>
      </c>
      <c r="AV129">
        <f>VLOOKUP('Ballast Calculator'!$D$64,'Drop down Options'!$CF$253:$CI$272,4,FALSE)</f>
        <v>77</v>
      </c>
      <c r="AW129">
        <f>VLOOKUP('Ballast Calculator'!$D$67,'Drop down Options'!$CS$289:$CV$293,4,FALSE)*Platforms!AZ129/Platforms!L129</f>
        <v>-301.7388017388017</v>
      </c>
      <c r="AX129">
        <f>AW129+VLOOKUP('Ballast Calculator'!$D$67,'Drop down Options'!$CS$289:$CV$293,4,FALSE)</f>
        <v>318.2611982611983</v>
      </c>
      <c r="AY129">
        <f>VLOOKUP('Ballast Calculator'!$D$67,'Drop down Options'!$CS$289:$CV$293,4,FALSE)*(Platforms!AZ129+Platforms!L129)/Platforms!L129</f>
        <v>318.2611982611983</v>
      </c>
      <c r="AZ129">
        <f t="shared" si="13"/>
        <v>-1287.5</v>
      </c>
    </row>
    <row r="130" spans="1:52" ht="12.75">
      <c r="A130" s="52" t="str">
        <f t="shared" si="12"/>
        <v>7530PremiumMFWDIVT</v>
      </c>
      <c r="B130">
        <v>128</v>
      </c>
      <c r="C130" s="54">
        <v>7530</v>
      </c>
      <c r="D130" s="55" t="s">
        <v>71</v>
      </c>
      <c r="E130" s="54" t="s">
        <v>64</v>
      </c>
      <c r="F130" t="s">
        <v>75</v>
      </c>
      <c r="G130" s="53">
        <v>39870</v>
      </c>
      <c r="H130">
        <v>7100</v>
      </c>
      <c r="I130" s="54">
        <v>895</v>
      </c>
      <c r="J130" s="54">
        <v>137</v>
      </c>
      <c r="K130">
        <v>400</v>
      </c>
      <c r="L130">
        <v>2645.5</v>
      </c>
      <c r="M130">
        <v>880</v>
      </c>
      <c r="N130">
        <v>12300</v>
      </c>
      <c r="O130">
        <v>7100</v>
      </c>
      <c r="P130">
        <v>9500</v>
      </c>
      <c r="Q130" s="52">
        <f t="shared" si="7"/>
        <v>2402.003402003402</v>
      </c>
      <c r="R130" s="52">
        <f t="shared" si="8"/>
        <v>4697.996597996598</v>
      </c>
      <c r="S130" s="52">
        <f t="shared" si="9"/>
        <v>4697.996597996598</v>
      </c>
      <c r="T130">
        <v>-1300.3</v>
      </c>
      <c r="U130">
        <v>416.9</v>
      </c>
      <c r="V130" s="54">
        <v>1618</v>
      </c>
      <c r="W130" s="54">
        <v>1005</v>
      </c>
      <c r="AD130" t="s">
        <v>401</v>
      </c>
      <c r="AE130" t="s">
        <v>401</v>
      </c>
      <c r="AF130">
        <f t="shared" si="15"/>
        <v>3726</v>
      </c>
      <c r="AG130">
        <f>VLOOKUP('Ballast Calculator'!$D$67,'Drop down Options'!$CS$289:$CV$293,4,FALSE)*Platforms!T130/Platforms!L130</f>
        <v>-304.73861273861274</v>
      </c>
      <c r="AH130">
        <f>VLOOKUP('Ballast Calculator'!$D$67,'Drop down Options'!$CS$289:$CV$293,4,FALSE)+(VLOOKUP('Ballast Calculator'!$D$67,'Drop down Options'!$CS$289:$CV$293,4,FALSE)*T130)/L130</f>
        <v>315.26138726138726</v>
      </c>
      <c r="AI130">
        <f>VLOOKUP('Ballast Calculator'!$D$67,'Drop down Options'!$CS$289:$CV$293,4,FALSE)*(Platforms!L130+Platforms!T130)/Platforms!L130</f>
        <v>315.26138726138726</v>
      </c>
      <c r="AJ130">
        <v>-991.1</v>
      </c>
      <c r="AK130">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130">
        <f>IF(VLOOKUP('Ballast Calculator'!$D$50,'Drop down Options'!$AN$202:$AQ$210,4,FALSE)="",0,Platforms!AK130)</f>
        <v>2494.5318654318653</v>
      </c>
      <c r="AM130">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130">
        <f>IF(VLOOKUP('Ballast Calculator'!$D$50,'Drop down Options'!$AN$202:$AQ$210,4,FALSE)="",0,Platforms!AM130)</f>
        <v>-1106.2318654318653</v>
      </c>
      <c r="AO130">
        <f>VLOOKUP('Ballast Calculator'!$D$54,'Drop down Options'!$CN$277:$CR$280,5,FALSE)*Platforms!AJ130/Platforms!L130</f>
        <v>0</v>
      </c>
      <c r="AP130" s="167">
        <f>VLOOKUP('Ballast Calculator'!$D$54,'Drop down Options'!$CN$277:$CR$280,5,FALSE)+VLOOKUP('Ballast Calculator'!$D$54,'Drop down Options'!$CN$277:$CR$280,5,FALSE)*Platforms!AJ130/Platforms!L130</f>
        <v>0</v>
      </c>
      <c r="AQ130" s="167">
        <f>VLOOKUP('Ballast Calculator'!$D$54,'Drop down Options'!$CN$277:$CR$280,5,FALSE)*(Platforms!AJ130+Platforms!L130)/Platforms!L130</f>
        <v>0</v>
      </c>
      <c r="AR130">
        <f>VLOOKUP('Ballast Calculator'!$D$61,'Drop down Options'!$BW$215:$BZ$248,4,FALSE)*(Platforms!L130+Platforms!AF130)/Platforms!L130</f>
        <v>0</v>
      </c>
      <c r="AS130" s="167">
        <f>-AR130+VLOOKUP('Ballast Calculator'!$D$61,'Drop down Options'!$BW$215:$BZ$248,4,FALSE)</f>
        <v>0</v>
      </c>
      <c r="AT130" s="167">
        <f>-VLOOKUP('Ballast Calculator'!$D$61,'Drop down Options'!$BW$215:$BZ$248,4,FALSE)*Platforms!AF130/Platforms!L130</f>
        <v>0</v>
      </c>
      <c r="AU130">
        <v>0</v>
      </c>
      <c r="AV130">
        <f>VLOOKUP('Ballast Calculator'!$D$64,'Drop down Options'!$CF$253:$CI$272,4,FALSE)</f>
        <v>77</v>
      </c>
      <c r="AW130">
        <f>VLOOKUP('Ballast Calculator'!$D$67,'Drop down Options'!$CS$289:$CV$293,4,FALSE)*Platforms!AZ130/Platforms!L130</f>
        <v>-301.7388017388017</v>
      </c>
      <c r="AX130">
        <f>AW130+VLOOKUP('Ballast Calculator'!$D$67,'Drop down Options'!$CS$289:$CV$293,4,FALSE)</f>
        <v>318.2611982611983</v>
      </c>
      <c r="AY130">
        <f>VLOOKUP('Ballast Calculator'!$D$67,'Drop down Options'!$CS$289:$CV$293,4,FALSE)*(Platforms!AZ130+Platforms!L130)/Platforms!L130</f>
        <v>318.2611982611983</v>
      </c>
      <c r="AZ130">
        <f t="shared" si="13"/>
        <v>-1287.5</v>
      </c>
    </row>
    <row r="131" spans="1:52" ht="12.75">
      <c r="A131" s="52" t="str">
        <f t="shared" si="12"/>
        <v>7530PremiumMFWD TLSPQ+</v>
      </c>
      <c r="B131">
        <v>129</v>
      </c>
      <c r="C131" s="54">
        <v>7530</v>
      </c>
      <c r="D131" s="55" t="s">
        <v>71</v>
      </c>
      <c r="E131" s="54" t="s">
        <v>73</v>
      </c>
      <c r="F131" t="s">
        <v>69</v>
      </c>
      <c r="G131" s="53">
        <v>39870</v>
      </c>
      <c r="H131">
        <v>7100</v>
      </c>
      <c r="I131" s="54">
        <v>895</v>
      </c>
      <c r="J131" s="54">
        <v>137</v>
      </c>
      <c r="K131" s="54">
        <v>450</v>
      </c>
      <c r="L131" s="54">
        <v>2645.5</v>
      </c>
      <c r="M131">
        <v>880</v>
      </c>
      <c r="N131">
        <v>12300</v>
      </c>
      <c r="O131">
        <v>7100</v>
      </c>
      <c r="P131">
        <v>9500</v>
      </c>
      <c r="Q131" s="52">
        <f t="shared" si="7"/>
        <v>2402.003402003402</v>
      </c>
      <c r="R131" s="52">
        <f t="shared" si="8"/>
        <v>4697.996597996598</v>
      </c>
      <c r="S131" s="52">
        <f t="shared" si="9"/>
        <v>4697.996597996598</v>
      </c>
      <c r="T131">
        <v>-1300.3</v>
      </c>
      <c r="U131">
        <v>416.9</v>
      </c>
      <c r="V131" s="54">
        <v>1618</v>
      </c>
      <c r="W131" s="54">
        <v>1005</v>
      </c>
      <c r="AD131" t="s">
        <v>401</v>
      </c>
      <c r="AE131" t="s">
        <v>401</v>
      </c>
      <c r="AF131">
        <f t="shared" si="15"/>
        <v>3726</v>
      </c>
      <c r="AG131">
        <f>VLOOKUP('Ballast Calculator'!$D$67,'Drop down Options'!$CS$289:$CV$293,4,FALSE)*Platforms!T131/Platforms!L131</f>
        <v>-304.73861273861274</v>
      </c>
      <c r="AH131">
        <f>VLOOKUP('Ballast Calculator'!$D$67,'Drop down Options'!$CS$289:$CV$293,4,FALSE)+(VLOOKUP('Ballast Calculator'!$D$67,'Drop down Options'!$CS$289:$CV$293,4,FALSE)*T131)/L131</f>
        <v>315.26138726138726</v>
      </c>
      <c r="AI131">
        <f>VLOOKUP('Ballast Calculator'!$D$67,'Drop down Options'!$CS$289:$CV$293,4,FALSE)*(Platforms!L131+Platforms!T131)/Platforms!L131</f>
        <v>315.26138726138726</v>
      </c>
      <c r="AJ131">
        <v>-991.1</v>
      </c>
      <c r="AK131">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131">
        <f>IF(VLOOKUP('Ballast Calculator'!$D$50,'Drop down Options'!$AN$202:$AQ$210,4,FALSE)="",0,Platforms!AK131)</f>
        <v>2494.5318654318653</v>
      </c>
      <c r="AM131">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131">
        <f>IF(VLOOKUP('Ballast Calculator'!$D$50,'Drop down Options'!$AN$202:$AQ$210,4,FALSE)="",0,Platforms!AM131)</f>
        <v>-1106.2318654318653</v>
      </c>
      <c r="AO131">
        <f>VLOOKUP('Ballast Calculator'!$D$54,'Drop down Options'!$CN$277:$CR$280,5,FALSE)*Platforms!AJ131/Platforms!L131</f>
        <v>0</v>
      </c>
      <c r="AP131" s="167">
        <f>VLOOKUP('Ballast Calculator'!$D$54,'Drop down Options'!$CN$277:$CR$280,5,FALSE)+VLOOKUP('Ballast Calculator'!$D$54,'Drop down Options'!$CN$277:$CR$280,5,FALSE)*Platforms!AJ131/Platforms!L131</f>
        <v>0</v>
      </c>
      <c r="AQ131" s="167">
        <f>VLOOKUP('Ballast Calculator'!$D$54,'Drop down Options'!$CN$277:$CR$280,5,FALSE)*(Platforms!AJ131+Platforms!L131)/Platforms!L131</f>
        <v>0</v>
      </c>
      <c r="AR131">
        <f>VLOOKUP('Ballast Calculator'!$D$61,'Drop down Options'!$BW$215:$BZ$248,4,FALSE)*(Platforms!L131+Platforms!AF131)/Platforms!L131</f>
        <v>0</v>
      </c>
      <c r="AS131" s="167">
        <f>-AR131+VLOOKUP('Ballast Calculator'!$D$61,'Drop down Options'!$BW$215:$BZ$248,4,FALSE)</f>
        <v>0</v>
      </c>
      <c r="AT131" s="167">
        <f>-VLOOKUP('Ballast Calculator'!$D$61,'Drop down Options'!$BW$215:$BZ$248,4,FALSE)*Platforms!AF131/Platforms!L131</f>
        <v>0</v>
      </c>
      <c r="AU131">
        <v>0</v>
      </c>
      <c r="AV131">
        <f>VLOOKUP('Ballast Calculator'!$D$64,'Drop down Options'!$CF$253:$CI$272,4,FALSE)</f>
        <v>77</v>
      </c>
      <c r="AW131">
        <f>VLOOKUP('Ballast Calculator'!$D$67,'Drop down Options'!$CS$289:$CV$293,4,FALSE)*Platforms!AZ131/Platforms!L131</f>
        <v>-301.7388017388017</v>
      </c>
      <c r="AX131">
        <f>AW131+VLOOKUP('Ballast Calculator'!$D$67,'Drop down Options'!$CS$289:$CV$293,4,FALSE)</f>
        <v>318.2611982611983</v>
      </c>
      <c r="AY131">
        <f>VLOOKUP('Ballast Calculator'!$D$67,'Drop down Options'!$CS$289:$CV$293,4,FALSE)*(Platforms!AZ131+Platforms!L131)/Platforms!L131</f>
        <v>318.2611982611983</v>
      </c>
      <c r="AZ131">
        <f t="shared" si="13"/>
        <v>-1287.5</v>
      </c>
    </row>
    <row r="132" spans="1:52" ht="12.75">
      <c r="A132" s="52" t="str">
        <f t="shared" si="12"/>
        <v>7530PremiumMFWD TLSAQ+</v>
      </c>
      <c r="B132">
        <v>130</v>
      </c>
      <c r="C132" s="54">
        <v>7530</v>
      </c>
      <c r="D132" s="55" t="s">
        <v>71</v>
      </c>
      <c r="E132" s="54" t="s">
        <v>73</v>
      </c>
      <c r="F132" t="s">
        <v>72</v>
      </c>
      <c r="G132" s="53">
        <v>39870</v>
      </c>
      <c r="H132">
        <v>7100</v>
      </c>
      <c r="I132" s="54">
        <v>895</v>
      </c>
      <c r="J132" s="54">
        <v>137</v>
      </c>
      <c r="K132" s="54">
        <v>450</v>
      </c>
      <c r="L132" s="54">
        <v>2645.5</v>
      </c>
      <c r="M132">
        <v>880</v>
      </c>
      <c r="N132">
        <v>12300</v>
      </c>
      <c r="O132">
        <v>7100</v>
      </c>
      <c r="P132">
        <v>9500</v>
      </c>
      <c r="Q132" s="52">
        <f>(H132*I132)/L132</f>
        <v>2402.003402003402</v>
      </c>
      <c r="R132" s="52">
        <f>-Q132+H132</f>
        <v>4697.996597996598</v>
      </c>
      <c r="S132" s="52">
        <f>(H132*(L132-I132))/L132</f>
        <v>4697.996597996598</v>
      </c>
      <c r="T132">
        <v>-1300.3</v>
      </c>
      <c r="U132">
        <v>416.9</v>
      </c>
      <c r="V132" s="54">
        <v>1618</v>
      </c>
      <c r="W132" s="54">
        <v>1005</v>
      </c>
      <c r="AD132" t="s">
        <v>401</v>
      </c>
      <c r="AE132" t="s">
        <v>401</v>
      </c>
      <c r="AF132">
        <f t="shared" si="15"/>
        <v>3726</v>
      </c>
      <c r="AG132">
        <f>VLOOKUP('Ballast Calculator'!$D$67,'Drop down Options'!$CS$289:$CV$293,4,FALSE)*Platforms!T132/Platforms!L132</f>
        <v>-304.73861273861274</v>
      </c>
      <c r="AH132">
        <f>VLOOKUP('Ballast Calculator'!$D$67,'Drop down Options'!$CS$289:$CV$293,4,FALSE)+(VLOOKUP('Ballast Calculator'!$D$67,'Drop down Options'!$CS$289:$CV$293,4,FALSE)*T132)/L132</f>
        <v>315.26138726138726</v>
      </c>
      <c r="AI132">
        <f>VLOOKUP('Ballast Calculator'!$D$67,'Drop down Options'!$CS$289:$CV$293,4,FALSE)*(Platforms!L132+Platforms!T132)/Platforms!L132</f>
        <v>315.26138726138726</v>
      </c>
      <c r="AJ132">
        <v>-991.1</v>
      </c>
      <c r="AK132">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132">
        <f>IF(VLOOKUP('Ballast Calculator'!$D$50,'Drop down Options'!$AN$202:$AQ$210,4,FALSE)="",0,Platforms!AK132)</f>
        <v>2494.5318654318653</v>
      </c>
      <c r="AM132">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132">
        <f>IF(VLOOKUP('Ballast Calculator'!$D$50,'Drop down Options'!$AN$202:$AQ$210,4,FALSE)="",0,Platforms!AM132)</f>
        <v>-1106.2318654318653</v>
      </c>
      <c r="AO132">
        <f>VLOOKUP('Ballast Calculator'!$D$54,'Drop down Options'!$CN$277:$CR$280,5,FALSE)*Platforms!AJ132/Platforms!L132</f>
        <v>0</v>
      </c>
      <c r="AP132" s="167">
        <f>VLOOKUP('Ballast Calculator'!$D$54,'Drop down Options'!$CN$277:$CR$280,5,FALSE)+VLOOKUP('Ballast Calculator'!$D$54,'Drop down Options'!$CN$277:$CR$280,5,FALSE)*Platforms!AJ132/Platforms!L132</f>
        <v>0</v>
      </c>
      <c r="AQ132" s="167">
        <f>VLOOKUP('Ballast Calculator'!$D$54,'Drop down Options'!$CN$277:$CR$280,5,FALSE)*(Platforms!AJ132+Platforms!L132)/Platforms!L132</f>
        <v>0</v>
      </c>
      <c r="AR132">
        <f>VLOOKUP('Ballast Calculator'!$D$61,'Drop down Options'!$BW$215:$BZ$248,4,FALSE)*(Platforms!L132+Platforms!AF132)/Platforms!L132</f>
        <v>0</v>
      </c>
      <c r="AS132" s="167">
        <f>-AR132+VLOOKUP('Ballast Calculator'!$D$61,'Drop down Options'!$BW$215:$BZ$248,4,FALSE)</f>
        <v>0</v>
      </c>
      <c r="AT132" s="167">
        <f>-VLOOKUP('Ballast Calculator'!$D$61,'Drop down Options'!$BW$215:$BZ$248,4,FALSE)*Platforms!AF132/Platforms!L132</f>
        <v>0</v>
      </c>
      <c r="AU132">
        <v>0</v>
      </c>
      <c r="AV132">
        <f>VLOOKUP('Ballast Calculator'!$D$64,'Drop down Options'!$CF$253:$CI$272,4,FALSE)</f>
        <v>77</v>
      </c>
      <c r="AW132">
        <f>VLOOKUP('Ballast Calculator'!$D$67,'Drop down Options'!$CS$289:$CV$293,4,FALSE)*Platforms!AZ132/Platforms!L132</f>
        <v>-301.7388017388017</v>
      </c>
      <c r="AX132">
        <f>AW132+VLOOKUP('Ballast Calculator'!$D$67,'Drop down Options'!$CS$289:$CV$293,4,FALSE)</f>
        <v>318.2611982611983</v>
      </c>
      <c r="AY132">
        <f>VLOOKUP('Ballast Calculator'!$D$67,'Drop down Options'!$CS$289:$CV$293,4,FALSE)*(Platforms!AZ132+Platforms!L132)/Platforms!L132</f>
        <v>318.2611982611983</v>
      </c>
      <c r="AZ132">
        <f t="shared" si="13"/>
        <v>-1287.5</v>
      </c>
    </row>
    <row r="133" spans="1:52" ht="12.75">
      <c r="A133" s="52" t="str">
        <f t="shared" si="12"/>
        <v>7530PremiumMFWD TLSIVT</v>
      </c>
      <c r="B133">
        <v>131</v>
      </c>
      <c r="C133" s="54">
        <v>7530</v>
      </c>
      <c r="D133" s="55" t="s">
        <v>71</v>
      </c>
      <c r="E133" s="54" t="s">
        <v>73</v>
      </c>
      <c r="F133" t="s">
        <v>75</v>
      </c>
      <c r="G133" s="53">
        <v>39870</v>
      </c>
      <c r="H133">
        <v>7100</v>
      </c>
      <c r="I133" s="54">
        <v>895</v>
      </c>
      <c r="J133" s="54">
        <v>137</v>
      </c>
      <c r="K133" s="54">
        <v>450</v>
      </c>
      <c r="L133" s="54">
        <v>2645.5</v>
      </c>
      <c r="M133">
        <v>880</v>
      </c>
      <c r="N133">
        <v>12300</v>
      </c>
      <c r="O133">
        <v>7100</v>
      </c>
      <c r="P133">
        <v>9500</v>
      </c>
      <c r="Q133" s="52">
        <f>(H133*I133)/L133</f>
        <v>2402.003402003402</v>
      </c>
      <c r="R133" s="52">
        <f>-Q133+H133</f>
        <v>4697.996597996598</v>
      </c>
      <c r="S133" s="52">
        <f>(H133*(L133-I133))/L133</f>
        <v>4697.996597996598</v>
      </c>
      <c r="T133">
        <v>-1300.3</v>
      </c>
      <c r="U133">
        <v>416.9</v>
      </c>
      <c r="V133" s="54">
        <v>1618</v>
      </c>
      <c r="W133" s="54">
        <v>1005</v>
      </c>
      <c r="AD133" t="s">
        <v>401</v>
      </c>
      <c r="AE133" t="s">
        <v>401</v>
      </c>
      <c r="AF133">
        <f t="shared" si="15"/>
        <v>3726</v>
      </c>
      <c r="AG133">
        <f>VLOOKUP('Ballast Calculator'!$D$67,'Drop down Options'!$CS$289:$CV$293,4,FALSE)*Platforms!T133/Platforms!L133</f>
        <v>-304.73861273861274</v>
      </c>
      <c r="AH133">
        <f>VLOOKUP('Ballast Calculator'!$D$67,'Drop down Options'!$CS$289:$CV$293,4,FALSE)+(VLOOKUP('Ballast Calculator'!$D$67,'Drop down Options'!$CS$289:$CV$293,4,FALSE)*T133)/L133</f>
        <v>315.26138726138726</v>
      </c>
      <c r="AI133">
        <f>VLOOKUP('Ballast Calculator'!$D$67,'Drop down Options'!$CS$289:$CV$293,4,FALSE)*(Platforms!L133+Platforms!T133)/Platforms!L133</f>
        <v>315.26138726138726</v>
      </c>
      <c r="AJ133">
        <v>-991.1</v>
      </c>
      <c r="AK133">
        <f>IF('Ballast Calculator'!$D$52=1,(VLOOKUP('Ballast Calculator'!$D$50,'Drop down Options'!$AN$202:$BN$210,27,FALSE)),IF('Ballast Calculator'!$D$52=2,(VLOOKUP('Ballast Calculator'!$D$50,'Drop down Options'!$AN$202:$BQ$210,30,FALSE)),IF('Ballast Calculator'!$D$52=3,(VLOOKUP('Ballast Calculator'!$D$50,'Drop down Options'!$AN$202:$BT$210,33,FALSE)),0)))</f>
        <v>2494.5318654318653</v>
      </c>
      <c r="AL133">
        <f>IF(VLOOKUP('Ballast Calculator'!$D$50,'Drop down Options'!$AN$202:$AQ$210,4,FALSE)="",0,Platforms!AK133)</f>
        <v>2494.5318654318653</v>
      </c>
      <c r="AM133">
        <f>IF('Ballast Calculator'!$D$52=1,(VLOOKUP('Ballast Calculator'!$D$50,'Drop down Options'!$AN$202:$BO$210,28,FALSE)),IF('Ballast Calculator'!$D$52=2,(VLOOKUP('Ballast Calculator'!$D$50,'Drop down Options'!$AN$202:$BR$210,31,FALSE)),IF('Ballast Calculator'!$D$52=3,(VLOOKUP('Ballast Calculator'!$D$50,'Drop down Options'!$AN$202:$BU$210,34,FALSE)),0)))</f>
        <v>-1106.2318654318653</v>
      </c>
      <c r="AN133">
        <f>IF(VLOOKUP('Ballast Calculator'!$D$50,'Drop down Options'!$AN$202:$AQ$210,4,FALSE)="",0,Platforms!AM133)</f>
        <v>-1106.2318654318653</v>
      </c>
      <c r="AO133">
        <f>VLOOKUP('Ballast Calculator'!$D$54,'Drop down Options'!$CN$277:$CR$280,5,FALSE)*Platforms!AJ133/Platforms!L133</f>
        <v>0</v>
      </c>
      <c r="AP133" s="167">
        <f>VLOOKUP('Ballast Calculator'!$D$54,'Drop down Options'!$CN$277:$CR$280,5,FALSE)+VLOOKUP('Ballast Calculator'!$D$54,'Drop down Options'!$CN$277:$CR$280,5,FALSE)*Platforms!AJ133/Platforms!L133</f>
        <v>0</v>
      </c>
      <c r="AQ133" s="167">
        <f>VLOOKUP('Ballast Calculator'!$D$54,'Drop down Options'!$CN$277:$CR$280,5,FALSE)*(Platforms!AJ133+Platforms!L133)/Platforms!L133</f>
        <v>0</v>
      </c>
      <c r="AR133">
        <f>VLOOKUP('Ballast Calculator'!$D$61,'Drop down Options'!$BW$215:$BZ$248,4,FALSE)*(Platforms!L133+Platforms!AF133)/Platforms!L133</f>
        <v>0</v>
      </c>
      <c r="AS133" s="167">
        <f>-AR133+VLOOKUP('Ballast Calculator'!$D$61,'Drop down Options'!$BW$215:$BZ$248,4,FALSE)</f>
        <v>0</v>
      </c>
      <c r="AT133" s="167">
        <f>-VLOOKUP('Ballast Calculator'!$D$61,'Drop down Options'!$BW$215:$BZ$248,4,FALSE)*Platforms!AF133/Platforms!L133</f>
        <v>0</v>
      </c>
      <c r="AU133">
        <v>0</v>
      </c>
      <c r="AV133">
        <f>VLOOKUP('Ballast Calculator'!$D$64,'Drop down Options'!$CF$253:$CI$272,4,FALSE)</f>
        <v>77</v>
      </c>
      <c r="AW133">
        <f>VLOOKUP('Ballast Calculator'!$D$67,'Drop down Options'!$CS$289:$CV$293,4,FALSE)*Platforms!AZ133/Platforms!L133</f>
        <v>-301.7388017388017</v>
      </c>
      <c r="AX133">
        <f>AW133+VLOOKUP('Ballast Calculator'!$D$67,'Drop down Options'!$CS$289:$CV$293,4,FALSE)</f>
        <v>318.2611982611983</v>
      </c>
      <c r="AY133">
        <f>VLOOKUP('Ballast Calculator'!$D$67,'Drop down Options'!$CS$289:$CV$293,4,FALSE)*(Platforms!AZ133+Platforms!L133)/Platforms!L133</f>
        <v>318.2611982611983</v>
      </c>
      <c r="AZ133">
        <f t="shared" si="13"/>
        <v>-1287.5</v>
      </c>
    </row>
    <row r="134" spans="1:7" ht="12.75">
      <c r="A134" s="54"/>
      <c r="C134" s="54"/>
      <c r="D134" s="56"/>
      <c r="E134" s="54"/>
      <c r="F134" s="54"/>
      <c r="G134" s="54"/>
    </row>
    <row r="135" spans="1:7" ht="12.75">
      <c r="A135" s="54"/>
      <c r="C135" s="54"/>
      <c r="D135" s="55"/>
      <c r="E135" s="54"/>
      <c r="F135" s="54"/>
      <c r="G135" s="54"/>
    </row>
    <row r="136" spans="1:7" ht="12.75">
      <c r="A136" s="54"/>
      <c r="D136" s="54" t="s">
        <v>81</v>
      </c>
      <c r="E136" s="54"/>
      <c r="F136" s="54"/>
      <c r="G136" s="54"/>
    </row>
    <row r="137" spans="1:7" ht="12.75">
      <c r="A137" s="54"/>
      <c r="D137" s="57" t="s">
        <v>82</v>
      </c>
      <c r="E137" s="54"/>
      <c r="F137" s="54"/>
      <c r="G137" s="54"/>
    </row>
    <row r="138" spans="1:7" ht="12.75">
      <c r="A138" s="54"/>
      <c r="C138" s="54"/>
      <c r="D138" s="54"/>
      <c r="E138" s="54"/>
      <c r="F138" s="54"/>
      <c r="G138" s="54"/>
    </row>
    <row r="139" spans="1:7" ht="12.75">
      <c r="A139" s="54"/>
      <c r="C139" s="54"/>
      <c r="D139" s="54"/>
      <c r="E139" s="54"/>
      <c r="F139" s="54"/>
      <c r="G139" s="54"/>
    </row>
    <row r="140" spans="1:7" ht="12.75">
      <c r="A140" s="54"/>
      <c r="C140" s="54"/>
      <c r="D140" s="54"/>
      <c r="E140" s="54"/>
      <c r="F140" s="54"/>
      <c r="G140" s="54"/>
    </row>
    <row r="141" spans="1:7" ht="12.75">
      <c r="A141" s="54"/>
      <c r="C141" s="54"/>
      <c r="D141" s="54"/>
      <c r="E141" s="54"/>
      <c r="F141" s="54"/>
      <c r="G141" s="54"/>
    </row>
  </sheetData>
  <conditionalFormatting sqref="D128:D136 C128:C135">
    <cfRule type="cellIs" priority="1" dxfId="1" operator="equal" stopIfTrue="1">
      <formula>"TBD"</formula>
    </cfRule>
  </conditionalFormatting>
  <conditionalFormatting sqref="AN3:AN133">
    <cfRule type="cellIs" priority="2" dxfId="0" operator="notEqual" stopIfTrue="1">
      <formula>$AM$3</formula>
    </cfRule>
  </conditionalFormatting>
  <conditionalFormatting sqref="AY3:AY133 AQ3:AQ133">
    <cfRule type="cellIs" priority="3" dxfId="0" operator="notEqual" stopIfTrue="1">
      <formula>AP3</formula>
    </cfRule>
  </conditionalFormatting>
  <conditionalFormatting sqref="AT3:AT133">
    <cfRule type="cellIs" priority="4" dxfId="0" operator="notBetween" stopIfTrue="1">
      <formula>AS3-1</formula>
      <formula>AS3+1</formula>
    </cfRule>
  </conditionalFormatting>
  <printOptions/>
  <pageMargins left="0.75" right="0.75" top="1" bottom="1" header="0.5" footer="0.5"/>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Deere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Katherine M Sheets</dc:creator>
  <cp:keywords/>
  <dc:description/>
  <cp:lastModifiedBy>Jennifer L Clark</cp:lastModifiedBy>
  <cp:lastPrinted>2009-04-27T21:25:35Z</cp:lastPrinted>
  <dcterms:created xsi:type="dcterms:W3CDTF">2009-02-26T15:04:50Z</dcterms:created>
  <dcterms:modified xsi:type="dcterms:W3CDTF">2009-10-21T11:47:31Z</dcterms:modified>
  <cp:category/>
  <cp:version/>
  <cp:contentType/>
  <cp:contentStatus/>
</cp:coreProperties>
</file>